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3250" windowHeight="12570" activeTab="1"/>
  </bookViews>
  <sheets>
    <sheet name="SORS_report" sheetId="1" r:id="rId1"/>
    <sheet name="recom" sheetId="2" r:id="rId2"/>
    <sheet name="Block1" sheetId="3" state="hidden" r:id="rId3"/>
    <sheet name="Block1_charts" sheetId="4" r:id="rId4"/>
    <sheet name="Block2" sheetId="5" state="hidden" r:id="rId5"/>
    <sheet name="Block2_charts" sheetId="6" r:id="rId6"/>
    <sheet name="Data" sheetId="7" r:id="rId7"/>
    <sheet name="Block3" sheetId="8" state="hidden" r:id="rId8"/>
    <sheet name="srv" sheetId="9" state="hidden" r:id="rId9"/>
  </sheets>
  <calcPr calcId="124519"/>
  <fileRecoveryPr repair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82" i="8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2"/>
  <c r="G52" s="1"/>
  <c r="F51"/>
  <c r="G51" s="1"/>
  <c r="F50"/>
  <c r="G50" s="1"/>
  <c r="F49"/>
  <c r="G49" s="1"/>
  <c r="F48"/>
  <c r="G48" s="1"/>
  <c r="F47"/>
  <c r="G47" s="1"/>
  <c r="B42"/>
  <c r="C42" s="1"/>
  <c r="B41"/>
  <c r="C41" s="1"/>
  <c r="B40"/>
  <c r="C40" s="1"/>
  <c r="B35"/>
  <c r="C35" s="1"/>
  <c r="B34"/>
  <c r="C34" s="1"/>
  <c r="B33"/>
  <c r="C33" s="1"/>
  <c r="B28"/>
  <c r="C28" s="1"/>
  <c r="B27"/>
  <c r="C27" s="1"/>
  <c r="B26"/>
  <c r="C26" s="1"/>
  <c r="B25"/>
  <c r="C25" s="1"/>
  <c r="B24"/>
  <c r="C24" s="1"/>
  <c r="B23"/>
  <c r="C23" s="1"/>
  <c r="B22"/>
  <c r="C22" s="1"/>
  <c r="B17"/>
  <c r="C17" s="1"/>
  <c r="B16"/>
  <c r="C16" s="1"/>
  <c r="B15"/>
  <c r="C15" s="1"/>
  <c r="B14"/>
  <c r="C14" s="1"/>
  <c r="B9"/>
  <c r="C9" s="1"/>
  <c r="B8"/>
  <c r="C8" s="1"/>
  <c r="B7"/>
  <c r="C7" s="1"/>
  <c r="B98" i="5"/>
  <c r="B97"/>
  <c r="B96"/>
  <c r="G92"/>
  <c r="F92"/>
  <c r="E92"/>
  <c r="D92"/>
  <c r="C92"/>
  <c r="B92"/>
  <c r="H92" s="1"/>
  <c r="G91"/>
  <c r="F91"/>
  <c r="E91"/>
  <c r="D91"/>
  <c r="C91"/>
  <c r="B91"/>
  <c r="D88"/>
  <c r="C88"/>
  <c r="B88"/>
  <c r="D87"/>
  <c r="C87"/>
  <c r="B87"/>
  <c r="D86"/>
  <c r="C86"/>
  <c r="B86"/>
  <c r="D85"/>
  <c r="C85"/>
  <c r="B85"/>
  <c r="G78"/>
  <c r="F78"/>
  <c r="E78"/>
  <c r="D78"/>
  <c r="C78"/>
  <c r="B78"/>
  <c r="G77"/>
  <c r="F77"/>
  <c r="E77"/>
  <c r="D77"/>
  <c r="C77"/>
  <c r="B77"/>
  <c r="G76"/>
  <c r="F76"/>
  <c r="E76"/>
  <c r="D76"/>
  <c r="C76"/>
  <c r="B76"/>
  <c r="H76" s="1"/>
  <c r="G75"/>
  <c r="F75"/>
  <c r="E75"/>
  <c r="D75"/>
  <c r="C75"/>
  <c r="B75"/>
  <c r="H75" s="1"/>
  <c r="G74"/>
  <c r="F74"/>
  <c r="E74"/>
  <c r="D74"/>
  <c r="C74"/>
  <c r="B74"/>
  <c r="G66"/>
  <c r="F66"/>
  <c r="E66"/>
  <c r="D66"/>
  <c r="C66"/>
  <c r="B66"/>
  <c r="G65"/>
  <c r="F65"/>
  <c r="E65"/>
  <c r="D65"/>
  <c r="C65"/>
  <c r="B65"/>
  <c r="G64"/>
  <c r="F64"/>
  <c r="E64"/>
  <c r="D64"/>
  <c r="C64"/>
  <c r="B64"/>
  <c r="H64" s="1"/>
  <c r="G63"/>
  <c r="F63"/>
  <c r="E63"/>
  <c r="D63"/>
  <c r="C63"/>
  <c r="B63"/>
  <c r="H63" s="1"/>
  <c r="G56"/>
  <c r="F56"/>
  <c r="E56"/>
  <c r="D56"/>
  <c r="C56"/>
  <c r="B56"/>
  <c r="G55"/>
  <c r="F55"/>
  <c r="E55"/>
  <c r="D55"/>
  <c r="C55"/>
  <c r="B55"/>
  <c r="G54"/>
  <c r="F54"/>
  <c r="E54"/>
  <c r="D54"/>
  <c r="C54"/>
  <c r="B54"/>
  <c r="G52"/>
  <c r="F52"/>
  <c r="E52"/>
  <c r="D52"/>
  <c r="C52"/>
  <c r="B52"/>
  <c r="H52" s="1"/>
  <c r="B44" i="9" s="1"/>
  <c r="G51" i="5"/>
  <c r="F51"/>
  <c r="E51"/>
  <c r="D51"/>
  <c r="C51"/>
  <c r="B51"/>
  <c r="H51" s="1"/>
  <c r="B43" i="9" s="1"/>
  <c r="G44" i="5"/>
  <c r="F44"/>
  <c r="E44"/>
  <c r="D44"/>
  <c r="C44"/>
  <c r="B44"/>
  <c r="G43"/>
  <c r="E43"/>
  <c r="G42"/>
  <c r="F42"/>
  <c r="E42"/>
  <c r="D42"/>
  <c r="C42"/>
  <c r="B42"/>
  <c r="H42" s="1"/>
  <c r="B39" i="9" s="1"/>
  <c r="G41" i="5"/>
  <c r="F41"/>
  <c r="E41"/>
  <c r="D41"/>
  <c r="C41"/>
  <c r="B41"/>
  <c r="G40"/>
  <c r="F40"/>
  <c r="E40"/>
  <c r="D40"/>
  <c r="C40"/>
  <c r="B40"/>
  <c r="G39"/>
  <c r="F39"/>
  <c r="E39"/>
  <c r="D39"/>
  <c r="C39"/>
  <c r="B39"/>
  <c r="G38"/>
  <c r="F38"/>
  <c r="E38"/>
  <c r="D38"/>
  <c r="C38"/>
  <c r="B38"/>
  <c r="G36"/>
  <c r="F36"/>
  <c r="E36"/>
  <c r="D36"/>
  <c r="C36"/>
  <c r="B36"/>
  <c r="G29"/>
  <c r="F29"/>
  <c r="E29"/>
  <c r="D29"/>
  <c r="C29"/>
  <c r="B29"/>
  <c r="G28"/>
  <c r="F28"/>
  <c r="E28"/>
  <c r="D28"/>
  <c r="C28"/>
  <c r="B28"/>
  <c r="G27"/>
  <c r="F27"/>
  <c r="E27"/>
  <c r="D27"/>
  <c r="C27"/>
  <c r="H27" s="1"/>
  <c r="B30" i="9" s="1"/>
  <c r="B27" i="5"/>
  <c r="G26"/>
  <c r="F26"/>
  <c r="E26"/>
  <c r="D26"/>
  <c r="C26"/>
  <c r="B26"/>
  <c r="G16"/>
  <c r="F16"/>
  <c r="E16"/>
  <c r="D16"/>
  <c r="C16"/>
  <c r="B16"/>
  <c r="G15"/>
  <c r="F15"/>
  <c r="E15"/>
  <c r="D15"/>
  <c r="C15"/>
  <c r="B15"/>
  <c r="G14"/>
  <c r="F14"/>
  <c r="E14"/>
  <c r="D14"/>
  <c r="C14"/>
  <c r="B14"/>
  <c r="G13"/>
  <c r="F13"/>
  <c r="E13"/>
  <c r="D13"/>
  <c r="C13"/>
  <c r="H13" s="1"/>
  <c r="B24" i="9" s="1"/>
  <c r="B13" i="5"/>
  <c r="G12"/>
  <c r="F12"/>
  <c r="E12"/>
  <c r="D12"/>
  <c r="C12"/>
  <c r="B12"/>
  <c r="G11"/>
  <c r="F11"/>
  <c r="E11"/>
  <c r="D11"/>
  <c r="C11"/>
  <c r="B11"/>
  <c r="G10"/>
  <c r="F10"/>
  <c r="E10"/>
  <c r="D10"/>
  <c r="C10"/>
  <c r="B10"/>
  <c r="G9"/>
  <c r="F9"/>
  <c r="E9"/>
  <c r="D9"/>
  <c r="C9"/>
  <c r="H9" s="1"/>
  <c r="B20" i="9" s="1"/>
  <c r="B9" i="5"/>
  <c r="G8"/>
  <c r="F8"/>
  <c r="E8"/>
  <c r="D8"/>
  <c r="C8"/>
  <c r="B8"/>
  <c r="F88" i="3"/>
  <c r="F15" i="9" s="1"/>
  <c r="F87" i="3"/>
  <c r="F14" i="9" s="1"/>
  <c r="F86" i="3"/>
  <c r="F13" i="9" s="1"/>
  <c r="F85" i="3"/>
  <c r="F12" i="9" s="1"/>
  <c r="F84" i="3"/>
  <c r="F11" i="9" s="1"/>
  <c r="F83" i="3"/>
  <c r="F10" i="9" s="1"/>
  <c r="F82" i="3"/>
  <c r="F9" i="9" s="1"/>
  <c r="F81" i="3"/>
  <c r="F8" i="9" s="1"/>
  <c r="F80" i="3"/>
  <c r="F7" i="9" s="1"/>
  <c r="F79" i="3"/>
  <c r="F6" i="9" s="1"/>
  <c r="F78" i="3"/>
  <c r="F5" i="9" s="1"/>
  <c r="F77" i="3"/>
  <c r="F4" i="9" s="1"/>
  <c r="F76" i="3"/>
  <c r="F3" i="9" s="1"/>
  <c r="F75" i="3"/>
  <c r="F2" i="9" s="1"/>
  <c r="F74" i="3"/>
  <c r="F1" i="9" s="1"/>
  <c r="F73" i="3"/>
  <c r="F72"/>
  <c r="F71"/>
  <c r="F70"/>
  <c r="F69"/>
  <c r="F68"/>
  <c r="F67"/>
  <c r="F66"/>
  <c r="F65"/>
  <c r="F64"/>
  <c r="F63"/>
  <c r="F62"/>
  <c r="F61"/>
  <c r="F59"/>
  <c r="G59" s="1"/>
  <c r="F58"/>
  <c r="G58" s="1"/>
  <c r="G57"/>
  <c r="F57"/>
  <c r="F56"/>
  <c r="G56" s="1"/>
  <c r="F55"/>
  <c r="G55" s="1"/>
  <c r="F54"/>
  <c r="G54" s="1"/>
  <c r="F51"/>
  <c r="G51" s="1"/>
  <c r="F50"/>
  <c r="G50" s="1"/>
  <c r="F49"/>
  <c r="G49" s="1"/>
  <c r="F48"/>
  <c r="G48" s="1"/>
  <c r="G45"/>
  <c r="F45"/>
  <c r="F44"/>
  <c r="G44" s="1"/>
  <c r="F43"/>
  <c r="G43" s="1"/>
  <c r="F42"/>
  <c r="G42" s="1"/>
  <c r="B39"/>
  <c r="C39" s="1"/>
  <c r="F38"/>
  <c r="G38" s="1"/>
  <c r="B38"/>
  <c r="C38" s="1"/>
  <c r="F37"/>
  <c r="G37" s="1"/>
  <c r="C37"/>
  <c r="B37"/>
  <c r="F36"/>
  <c r="G36" s="1"/>
  <c r="B36"/>
  <c r="C36" s="1"/>
  <c r="F35"/>
  <c r="G35" s="1"/>
  <c r="B35"/>
  <c r="C35" s="1"/>
  <c r="F32"/>
  <c r="G32" s="1"/>
  <c r="F31"/>
  <c r="G31" s="1"/>
  <c r="F30"/>
  <c r="G30" s="1"/>
  <c r="G29"/>
  <c r="F29"/>
  <c r="F26"/>
  <c r="G26" s="1"/>
  <c r="F25"/>
  <c r="G25" s="1"/>
  <c r="F24"/>
  <c r="G24" s="1"/>
  <c r="F23"/>
  <c r="G23" s="1"/>
  <c r="F22"/>
  <c r="G22" s="1"/>
  <c r="F21"/>
  <c r="G21" s="1"/>
  <c r="B18"/>
  <c r="C18" s="1"/>
  <c r="C17"/>
  <c r="B17"/>
  <c r="B14"/>
  <c r="C14" s="1"/>
  <c r="F13"/>
  <c r="G13" s="1"/>
  <c r="B13"/>
  <c r="C13" s="1"/>
  <c r="F12"/>
  <c r="G12" s="1"/>
  <c r="B12"/>
  <c r="C12" s="1"/>
  <c r="B9"/>
  <c r="C9" s="1"/>
  <c r="B8"/>
  <c r="C8" s="1"/>
  <c r="G7"/>
  <c r="F7"/>
  <c r="B7"/>
  <c r="C7" s="1"/>
  <c r="F6"/>
  <c r="G6" s="1"/>
  <c r="B6"/>
  <c r="C6" s="1"/>
  <c r="D204" i="1"/>
  <c r="D203"/>
  <c r="D202"/>
  <c r="D201"/>
  <c r="D200"/>
  <c r="D199"/>
  <c r="C196"/>
  <c r="D196" s="1"/>
  <c r="C195"/>
  <c r="D195" s="1"/>
  <c r="C194"/>
  <c r="D194" s="1"/>
  <c r="C190"/>
  <c r="D190" s="1"/>
  <c r="D189"/>
  <c r="C189"/>
  <c r="C188"/>
  <c r="D188" s="1"/>
  <c r="C184"/>
  <c r="D184" s="1"/>
  <c r="C183"/>
  <c r="D183" s="1"/>
  <c r="C182"/>
  <c r="D182" s="1"/>
  <c r="C181"/>
  <c r="D181" s="1"/>
  <c r="C180"/>
  <c r="D180" s="1"/>
  <c r="C179"/>
  <c r="D179" s="1"/>
  <c r="D178"/>
  <c r="C178"/>
  <c r="C174"/>
  <c r="D174" s="1"/>
  <c r="C173"/>
  <c r="D173" s="1"/>
  <c r="C172"/>
  <c r="D172" s="1"/>
  <c r="C171"/>
  <c r="D171" s="1"/>
  <c r="C167"/>
  <c r="D167" s="1"/>
  <c r="C166"/>
  <c r="D166" s="1"/>
  <c r="C165"/>
  <c r="D165" s="1"/>
  <c r="J153"/>
  <c r="J152"/>
  <c r="J151"/>
  <c r="H151"/>
  <c r="J150"/>
  <c r="H150"/>
  <c r="J149"/>
  <c r="H149"/>
  <c r="J148"/>
  <c r="J154" s="1"/>
  <c r="J142"/>
  <c r="J141"/>
  <c r="J140"/>
  <c r="J139"/>
  <c r="J138"/>
  <c r="J132"/>
  <c r="J131"/>
  <c r="J130"/>
  <c r="J129"/>
  <c r="J123"/>
  <c r="J122"/>
  <c r="J121"/>
  <c r="J119"/>
  <c r="J118"/>
  <c r="J124" s="1"/>
  <c r="J112"/>
  <c r="J111"/>
  <c r="J110"/>
  <c r="J109"/>
  <c r="J108"/>
  <c r="J107"/>
  <c r="J106"/>
  <c r="J104"/>
  <c r="J113" s="1"/>
  <c r="J98"/>
  <c r="J97"/>
  <c r="J96"/>
  <c r="J95"/>
  <c r="J87"/>
  <c r="J86"/>
  <c r="J85"/>
  <c r="J84"/>
  <c r="J83"/>
  <c r="J82"/>
  <c r="J81"/>
  <c r="J80"/>
  <c r="J88" s="1"/>
  <c r="J79"/>
  <c r="I71"/>
  <c r="H71"/>
  <c r="G71"/>
  <c r="F71"/>
  <c r="E71"/>
  <c r="D71"/>
  <c r="C71"/>
  <c r="I70"/>
  <c r="H70"/>
  <c r="G70"/>
  <c r="F70"/>
  <c r="E70"/>
  <c r="D70"/>
  <c r="C70"/>
  <c r="I69"/>
  <c r="H69"/>
  <c r="G69"/>
  <c r="F69"/>
  <c r="E69"/>
  <c r="D69"/>
  <c r="C69"/>
  <c r="I68"/>
  <c r="H68"/>
  <c r="G68"/>
  <c r="F68"/>
  <c r="E68"/>
  <c r="D68"/>
  <c r="C68"/>
  <c r="I67"/>
  <c r="H67"/>
  <c r="G67"/>
  <c r="F67"/>
  <c r="E67"/>
  <c r="D67"/>
  <c r="C67"/>
  <c r="I66"/>
  <c r="H66"/>
  <c r="G66"/>
  <c r="F66"/>
  <c r="E66"/>
  <c r="D66"/>
  <c r="C66"/>
  <c r="I65"/>
  <c r="H65"/>
  <c r="G65"/>
  <c r="F65"/>
  <c r="E65"/>
  <c r="D65"/>
  <c r="C65"/>
  <c r="I64"/>
  <c r="H64"/>
  <c r="G64"/>
  <c r="F64"/>
  <c r="E64"/>
  <c r="D64"/>
  <c r="C64"/>
  <c r="I63"/>
  <c r="H63"/>
  <c r="G63"/>
  <c r="F63"/>
  <c r="E63"/>
  <c r="D63"/>
  <c r="C63"/>
  <c r="I62"/>
  <c r="H62"/>
  <c r="G62"/>
  <c r="F62"/>
  <c r="E62"/>
  <c r="D62"/>
  <c r="C62"/>
  <c r="I61"/>
  <c r="H61"/>
  <c r="G61"/>
  <c r="F61"/>
  <c r="E61"/>
  <c r="D61"/>
  <c r="C61"/>
  <c r="I60"/>
  <c r="H60"/>
  <c r="G60"/>
  <c r="F60"/>
  <c r="E60"/>
  <c r="D60"/>
  <c r="C60"/>
  <c r="I59"/>
  <c r="H59"/>
  <c r="G59"/>
  <c r="F59"/>
  <c r="E59"/>
  <c r="D59"/>
  <c r="C59"/>
  <c r="I58"/>
  <c r="H58"/>
  <c r="G58"/>
  <c r="F58"/>
  <c r="E58"/>
  <c r="D58"/>
  <c r="C58"/>
  <c r="I57"/>
  <c r="H57"/>
  <c r="G57"/>
  <c r="F57"/>
  <c r="E57"/>
  <c r="D57"/>
  <c r="C57"/>
  <c r="I56"/>
  <c r="H56"/>
  <c r="G56"/>
  <c r="F56"/>
  <c r="E56"/>
  <c r="D56"/>
  <c r="C56"/>
  <c r="I55"/>
  <c r="H55"/>
  <c r="G55"/>
  <c r="F55"/>
  <c r="E55"/>
  <c r="D55"/>
  <c r="C55"/>
  <c r="I54"/>
  <c r="H54"/>
  <c r="G54"/>
  <c r="F54"/>
  <c r="E54"/>
  <c r="D54"/>
  <c r="C54"/>
  <c r="I53"/>
  <c r="H53"/>
  <c r="G53"/>
  <c r="F53"/>
  <c r="E53"/>
  <c r="D53"/>
  <c r="C53"/>
  <c r="I52"/>
  <c r="H52"/>
  <c r="G52"/>
  <c r="F52"/>
  <c r="E52"/>
  <c r="D52"/>
  <c r="C52"/>
  <c r="I51"/>
  <c r="H51"/>
  <c r="G51"/>
  <c r="F51"/>
  <c r="E51"/>
  <c r="D51"/>
  <c r="C51"/>
  <c r="I50"/>
  <c r="H50"/>
  <c r="G50"/>
  <c r="F50"/>
  <c r="E50"/>
  <c r="D50"/>
  <c r="C50"/>
  <c r="I49"/>
  <c r="H49"/>
  <c r="G49"/>
  <c r="F49"/>
  <c r="E49"/>
  <c r="D49"/>
  <c r="C49"/>
  <c r="I48"/>
  <c r="H48"/>
  <c r="G48"/>
  <c r="F48"/>
  <c r="E48"/>
  <c r="D48"/>
  <c r="C48"/>
  <c r="I47"/>
  <c r="H47"/>
  <c r="G47"/>
  <c r="F47"/>
  <c r="E47"/>
  <c r="D47"/>
  <c r="C47"/>
  <c r="I46"/>
  <c r="H46"/>
  <c r="G46"/>
  <c r="F46"/>
  <c r="E46"/>
  <c r="D46"/>
  <c r="C46"/>
  <c r="I45"/>
  <c r="H45"/>
  <c r="G45"/>
  <c r="F45"/>
  <c r="E45"/>
  <c r="D45"/>
  <c r="C45"/>
  <c r="C40"/>
  <c r="D40" s="1"/>
  <c r="C39"/>
  <c r="D39" s="1"/>
  <c r="C38"/>
  <c r="D38" s="1"/>
  <c r="C37"/>
  <c r="D37" s="1"/>
  <c r="C35"/>
  <c r="D35" s="1"/>
  <c r="C34"/>
  <c r="D34" s="1"/>
  <c r="C33"/>
  <c r="D33" s="1"/>
  <c r="C32"/>
  <c r="D32" s="1"/>
  <c r="C31"/>
  <c r="D31" s="1"/>
  <c r="C29"/>
  <c r="D29" s="1"/>
  <c r="C28"/>
  <c r="D28" s="1"/>
  <c r="C27"/>
  <c r="D27" s="1"/>
  <c r="C26"/>
  <c r="D26" s="1"/>
  <c r="C24"/>
  <c r="D24" s="1"/>
  <c r="C23"/>
  <c r="D23" s="1"/>
  <c r="C22"/>
  <c r="D22" s="1"/>
  <c r="C20"/>
  <c r="D20" s="1"/>
  <c r="C19"/>
  <c r="D19" s="1"/>
  <c r="C18"/>
  <c r="D18" s="1"/>
  <c r="C17"/>
  <c r="D17" s="1"/>
  <c r="C16"/>
  <c r="D16" s="1"/>
  <c r="C15"/>
  <c r="D15" s="1"/>
  <c r="C13"/>
  <c r="D13" s="1"/>
  <c r="C12"/>
  <c r="D12" s="1"/>
  <c r="C10"/>
  <c r="D10" s="1"/>
  <c r="D9"/>
  <c r="C9"/>
  <c r="C7"/>
  <c r="D7" s="1"/>
  <c r="C6"/>
  <c r="D6" s="1"/>
  <c r="C5"/>
  <c r="D5" s="1"/>
  <c r="D4"/>
  <c r="C4"/>
  <c r="D2"/>
  <c r="A12" i="2"/>
  <c r="A4"/>
  <c r="A11"/>
  <c r="A3"/>
  <c r="A14"/>
  <c r="A13"/>
  <c r="A5"/>
  <c r="A15"/>
  <c r="A7"/>
  <c r="A6"/>
  <c r="A10"/>
  <c r="A9"/>
  <c r="A8"/>
  <c r="J46" i="1" l="1"/>
  <c r="J48"/>
  <c r="J50"/>
  <c r="J52"/>
  <c r="J54"/>
  <c r="J56"/>
  <c r="J58"/>
  <c r="D205"/>
  <c r="H39" i="5"/>
  <c r="B36" i="9" s="1"/>
  <c r="H54" i="5"/>
  <c r="B45" i="9" s="1"/>
  <c r="H65" i="5"/>
  <c r="H77"/>
  <c r="J45" i="1"/>
  <c r="J47"/>
  <c r="J49"/>
  <c r="J51"/>
  <c r="J53"/>
  <c r="J55"/>
  <c r="J57"/>
  <c r="J143"/>
  <c r="H8" i="5"/>
  <c r="H10"/>
  <c r="B21" i="9" s="1"/>
  <c r="H12" i="5"/>
  <c r="B23" i="9" s="1"/>
  <c r="H14" i="5"/>
  <c r="B25" i="9" s="1"/>
  <c r="H15" i="5"/>
  <c r="B26" i="9" s="1"/>
  <c r="H16" i="5"/>
  <c r="B27" i="9" s="1"/>
  <c r="H26" i="5"/>
  <c r="B29" i="9" s="1"/>
  <c r="H28" i="5"/>
  <c r="B31" i="9" s="1"/>
  <c r="H36" i="5"/>
  <c r="B34" i="9" s="1"/>
  <c r="H38" i="5"/>
  <c r="B35" i="9" s="1"/>
  <c r="H40" i="5"/>
  <c r="B37" i="9" s="1"/>
  <c r="H55" i="5"/>
  <c r="B46" i="9" s="1"/>
  <c r="H66" i="5"/>
  <c r="H74"/>
  <c r="H79" s="1"/>
  <c r="H78"/>
  <c r="H91"/>
  <c r="H93" s="1"/>
  <c r="J60" i="1"/>
  <c r="J64"/>
  <c r="J68"/>
  <c r="J155"/>
  <c r="J59"/>
  <c r="J63"/>
  <c r="J67"/>
  <c r="J71"/>
  <c r="J133"/>
  <c r="J156"/>
  <c r="F60" i="3"/>
  <c r="H11" i="5"/>
  <c r="B22" i="9" s="1"/>
  <c r="H29" i="5"/>
  <c r="B32" i="9" s="1"/>
  <c r="H41" i="5"/>
  <c r="B38" i="9" s="1"/>
  <c r="J62" i="1"/>
  <c r="J66"/>
  <c r="J70"/>
  <c r="J99"/>
  <c r="J74" s="1"/>
  <c r="B19" i="9"/>
  <c r="H67" i="5"/>
  <c r="F53" i="8"/>
  <c r="J61" i="1"/>
  <c r="J65"/>
  <c r="J69"/>
  <c r="H30" i="5"/>
  <c r="H44"/>
  <c r="B40" i="9" s="1"/>
  <c r="H56" i="5"/>
  <c r="B47" i="9" s="1"/>
  <c r="H17" i="5" l="1"/>
  <c r="H45"/>
  <c r="H57"/>
  <c r="H3" s="1"/>
</calcChain>
</file>

<file path=xl/sharedStrings.xml><?xml version="1.0" encoding="utf-8"?>
<sst xmlns="http://schemas.openxmlformats.org/spreadsheetml/2006/main" count="1152" uniqueCount="338">
  <si>
    <t>Рекомендації учасників судових проваджень</t>
  </si>
  <si>
    <t>Кількість респондентів</t>
  </si>
  <si>
    <t>Блок 1 Загальна характеристика респондента</t>
  </si>
  <si>
    <t>1. Вік:</t>
  </si>
  <si>
    <t>Кількість</t>
  </si>
  <si>
    <t>%</t>
  </si>
  <si>
    <t>2. Стать:</t>
  </si>
  <si>
    <t>18-25 років</t>
  </si>
  <si>
    <t xml:space="preserve">Розподіл за віковими характеристиками </t>
  </si>
  <si>
    <t>Чоловіча</t>
  </si>
  <si>
    <t>26-39 років</t>
  </si>
  <si>
    <t>Жіноча</t>
  </si>
  <si>
    <t>40-59 років</t>
  </si>
  <si>
    <t>60 років і старше</t>
  </si>
  <si>
    <t>3. Рівень освіти:</t>
  </si>
  <si>
    <t>4. Наявність вищої юридичної освіти:</t>
  </si>
  <si>
    <t>Середня та неповна середня</t>
  </si>
  <si>
    <t>Так</t>
  </si>
  <si>
    <t>Розподіл за статтю</t>
  </si>
  <si>
    <t>Вища та неповна вища</t>
  </si>
  <si>
    <t>Ні</t>
  </si>
  <si>
    <t>Інше</t>
  </si>
  <si>
    <t>Географічний розподіл</t>
  </si>
  <si>
    <t>5. Де Ви проживаєте:</t>
  </si>
  <si>
    <t>В населеному пункті, де розташований цей суд</t>
  </si>
  <si>
    <t>Респоненти, що проживають населеному пункті, де розташований цей суд</t>
  </si>
  <si>
    <t>В іншому населеному пункті</t>
  </si>
  <si>
    <t xml:space="preserve">6. Як Ви оцінюєте матеріальне становище своєї родини? </t>
  </si>
  <si>
    <t>Розподіл за матеріальними статками</t>
  </si>
  <si>
    <t>Змушені економити на харчуванні</t>
  </si>
  <si>
    <t>Вистачає на харчування та необхідний одяг, взуття. Для таких покупок як гарний  костюм, мобільний телефон, пилосос необхідно заощадити або позичити</t>
  </si>
  <si>
    <t>Вистачає на харчування, одяг, взуття, інші покупки. Але для придбання речей, які дорого коштують (таких як сучасний телевізор, холодильник, меблі) необхідно заощадити або позичити</t>
  </si>
  <si>
    <t>Вистачає на харчування, одяг, взуття, дорогі покупки. Для таких покупок як машина, квартира необхідно заощадити або позичити</t>
  </si>
  <si>
    <t>Будь-які необхідні покупки можуть зробити в будь-який час</t>
  </si>
  <si>
    <t>Будь-які необхідні покупки можу зробити в будь-який час</t>
  </si>
  <si>
    <t>Не відповіли</t>
  </si>
  <si>
    <t>Рівень освіти</t>
  </si>
  <si>
    <t>7. Сьогодні у суді Ви:</t>
  </si>
  <si>
    <t>Є учасником судових проваджень і представляєте особисто себе</t>
  </si>
  <si>
    <t>Є учасником судових проваджень, але представляєте іншу фізичну чи юридичну особу (є адвокатом, представником прокуратури, юрист-консультантом)</t>
  </si>
  <si>
    <t>Не є учасником судових проваджень</t>
  </si>
  <si>
    <t>Розподіл за роллю в судовому процесі</t>
  </si>
  <si>
    <t>8. В якому з видів судового процесу в цьому суді Ви берете участь</t>
  </si>
  <si>
    <t>9. На якій стадії розгляду перебуває Ваша справа</t>
  </si>
  <si>
    <t>Цивільний процес</t>
  </si>
  <si>
    <t>Розгляд справи ще не розпочато</t>
  </si>
  <si>
    <t>Розподіл за судовим процесом</t>
  </si>
  <si>
    <t>Кримінальний процес</t>
  </si>
  <si>
    <t>Справа перебуває в процесі розгляду</t>
  </si>
  <si>
    <t>Адміністративний процес</t>
  </si>
  <si>
    <t>Розгляд справи завершено (винесено рішення)</t>
  </si>
  <si>
    <t>Господарський процес</t>
  </si>
  <si>
    <t>Справа про адміністративні правопорушення</t>
  </si>
  <si>
    <t>Розподіл за стадією розгляду справи</t>
  </si>
  <si>
    <t>10. Як часто за останні три (3) роки Ви були учасником судового процесу саме в цьому суді:</t>
  </si>
  <si>
    <t>Жодного разу</t>
  </si>
  <si>
    <t>Один раз</t>
  </si>
  <si>
    <t>2–5 разів</t>
  </si>
  <si>
    <t>6 разів і більше</t>
  </si>
  <si>
    <t>11. Як часто за останні три (3) роки цей суд приймав рішення по Вашій справі*?</t>
  </si>
  <si>
    <t>Загальна оцінка якості роботи суду за 5-бальною шкалою.</t>
  </si>
  <si>
    <t>№</t>
  </si>
  <si>
    <t>Респондент за характеристикою</t>
  </si>
  <si>
    <t>1 (дуже погано)</t>
  </si>
  <si>
    <t>Середня інтегральна оцінка</t>
  </si>
  <si>
    <t>Респонденти віком 18-25 років</t>
  </si>
  <si>
    <t>12. Оцініть, будь ласка, за 5-бальною шкалою якість роботи цього суду (1 – дуже погано, 5 – відмінно, 9 – КН) ВСІ РЕСПОНДЕНТИ</t>
  </si>
  <si>
    <t>Респонденти віком віком 26–39 років</t>
  </si>
  <si>
    <t>Респонденти віком 40–59 років</t>
  </si>
  <si>
    <t>Середня оцінка всіма респондентами</t>
  </si>
  <si>
    <t>Респонденти віком 60 років і старше</t>
  </si>
  <si>
    <t>Середня оцінка респонентами віком 18-25 років</t>
  </si>
  <si>
    <t>Чоловіки</t>
  </si>
  <si>
    <t>Середня оцінка респонентами віком 26–39 років</t>
  </si>
  <si>
    <t>Жінки</t>
  </si>
  <si>
    <t>Середня оцінка респонентами віком 40–59 років</t>
  </si>
  <si>
    <t xml:space="preserve">Респонденти з середньою та неповною середньою освітою </t>
  </si>
  <si>
    <t>Середня оцінка респонентами віком 60 років і старше</t>
  </si>
  <si>
    <t xml:space="preserve">Респонденти з вищою та неповною вищою освітою </t>
  </si>
  <si>
    <t>Середня оцінка жінками</t>
  </si>
  <si>
    <t xml:space="preserve">Респонденти, які мають іншу освіту </t>
  </si>
  <si>
    <t>Середня оцінка чоловіками</t>
  </si>
  <si>
    <t>Місцеві респонденти</t>
  </si>
  <si>
    <t xml:space="preserve">Середня оцінка респондентами з середньою та неповною середньою освітою </t>
  </si>
  <si>
    <t>Респонденти, що проживають у іншому населеному пункті</t>
  </si>
  <si>
    <t xml:space="preserve">Середня оцінка респондентами з вищою та неповною вищою освітою </t>
  </si>
  <si>
    <t>Респонденти, які змушені економити на харчуванні</t>
  </si>
  <si>
    <t xml:space="preserve">Середня оцінка респондентами, які мають іншу освіту </t>
  </si>
  <si>
    <t>Респонденти, яким вистачає на харчування та необхідний одяг, взуття. Для таких покупок як гарний  костюм, мобільний телефон, пилосос необхідно заощадити або позичити</t>
  </si>
  <si>
    <t>Середня оцінка респондентами, які мають вищу юридичну освіту</t>
  </si>
  <si>
    <t>Респонденти, яким вистачає на харчування, одяг, взуття, інші покупки. Але для придбання речей, які дорого коштують (таких як сучасний телевізор, холодильник, меблі) необхідно заощадити або позичити</t>
  </si>
  <si>
    <t>Середня оцінка респондентами, які не мають вищої юридичної освіти</t>
  </si>
  <si>
    <t>Середня оцінка місцевими респондентами</t>
  </si>
  <si>
    <t>Респонденти, яким вистачає на харчування, одяг, взуття, дорогі покупки. Для таких покупок як машина, квартира необхідно заощадити або позичити</t>
  </si>
  <si>
    <t>Середня оцінка респондентами, що проживають у іншому населеному пункті</t>
  </si>
  <si>
    <t>Респонденти, які будь-які необхідні покупки можуть зробити в будь-який час</t>
  </si>
  <si>
    <t>Середня оцінка респондентами, які змушені економити на харчуванні</t>
  </si>
  <si>
    <t>Респонденти, які не вказали матеріальне становище своєї родини</t>
  </si>
  <si>
    <t>Середня оцінка респондентами, яким вистачає на харчування та необхідний одяг, взуття. Для таких покупок як гарний  костюм, мобільний телефон, пилосос необхідно заощадити або позичити</t>
  </si>
  <si>
    <t>Респонденти, які є учасниками судових проваджень і представляють особисто себе</t>
  </si>
  <si>
    <t>Респонденти, які є учасниками судових проваджень, але представляють іншу фізичну чи юридичну особу (є адвокатом, представником прокуратури, юрист-консультантом)</t>
  </si>
  <si>
    <t>Середня оцінка респондентами, яким вистачає на харчування, одяг, взуття, інші покупки. Але для придбання речей, які дорого коштують (таких як сучасний телевізор, холодильник, меблі) необхідно заощадити або позичити</t>
  </si>
  <si>
    <t>Респонденти, які не є учасниками судових проваджень</t>
  </si>
  <si>
    <t>Середня оцінка респондентами, яким вистачає на харчування, одяг, взуття, дорогі покупки. Для таких покупок як машина, квартира необхідно заощадити або позичити</t>
  </si>
  <si>
    <t>Середня оцінка іншими респондентами</t>
  </si>
  <si>
    <t>Середня оцінка респондентами, які будь-які необхідні покупки можуть зробити в будь-який час</t>
  </si>
  <si>
    <t>Респонденти, що беруть участь у цивільних справах</t>
  </si>
  <si>
    <t>Середня оцінка респондентами, які не вказали матеріальне становище своєї родини</t>
  </si>
  <si>
    <t>Респонденти, що беруть участь у кримінальних справах</t>
  </si>
  <si>
    <t>Середня оцінка респондентами, які є учасниками судових проваджень і представляють особисто себе</t>
  </si>
  <si>
    <t>Респонденти, що беруть участь у адміністративних справах</t>
  </si>
  <si>
    <t>Середня оцінка респондентами, які є учасниками судових проваджень, але представляють іншу фізичну чи юридичну особу (є адвокатом, представником прокуратури, юрист-консультантом)</t>
  </si>
  <si>
    <t>Респонденти, що беруть участь у господарських справах</t>
  </si>
  <si>
    <t>Середня оцінка респондентами, які не є учасниками судових проваджень</t>
  </si>
  <si>
    <t>Респонденти, що беруть участь у справах про адміністративні правопорушення</t>
  </si>
  <si>
    <t>Середня оцінка респондентами, що беруть участь у цивільних справах</t>
  </si>
  <si>
    <t>Середній інтегральний показник за вимірами якості</t>
  </si>
  <si>
    <t>Середня оцінка респондентами, що беруть участь у кримінальних справах</t>
  </si>
  <si>
    <t>Доступність суду. Інтегральні показники за картками громадянського звітування</t>
  </si>
  <si>
    <t>Показник</t>
  </si>
  <si>
    <t>Одиниця виміру</t>
  </si>
  <si>
    <t>Значення</t>
  </si>
  <si>
    <t>Чи легко Вам було знайти будівлю суду?</t>
  </si>
  <si>
    <t>Середня оцінка респондентами, що беруть участь у адміністративних справах</t>
  </si>
  <si>
    <t>Від 1 (цілком ні) до 5 (цілком так)</t>
  </si>
  <si>
    <t>Середня оцінка респондентами, що беруть участь у господарських справах</t>
  </si>
  <si>
    <t>Чи зручно Вам діставатися до будівлі суду громадським транспортом? (Якщо Ви не користуєтеся громадським транспортом, пропустіть це запитання)</t>
  </si>
  <si>
    <t>Середня оцінка респондентами, що беруть участь у справах про адміністративні правопорушення</t>
  </si>
  <si>
    <t>Чи зручно паркувати автомобіль (достатньо паркувальних місць) біля будівлі суду? (Якщо Ви дісталися не на автомобілі – тобто громадським транспортом або пішки, пропустіть це питання)</t>
  </si>
  <si>
    <t>Чи зазнавали Ви певних перешкод у доступі до приміщень суду через обмеження охорони?</t>
  </si>
  <si>
    <t>Від 1 (цілком так) до 5 (цілком ні)</t>
  </si>
  <si>
    <t>Як Ви вважаєте, чи люди з обмеженими можливостями можуть безперешкодно потрапити до приміщення суду і користуватися послугами суду?</t>
  </si>
  <si>
    <t>Якщо Вам доводилося телефонувати до суду, чи завжди вдавалось додзвонитися?</t>
  </si>
  <si>
    <t>Якщо Вам доводилося телефонувати до суду, чи завжди вдавалось отримати потрібну інформацію?</t>
  </si>
  <si>
    <t>Чи давав графік роботи канцелярії суду можливість вчасно та безперешкодно вирішувати Ваші справи у суді (подати позов, ознайомитися з матеріалами, отримати рішення, ухвалу, вирок та ін.)?*</t>
  </si>
  <si>
    <t xml:space="preserve">Чи могли б Ви собі дозволити витрати на послуги адвоката у разі необхідності?
</t>
  </si>
  <si>
    <t>ЗАГАЛЬНИЙ ІНДЕКС</t>
  </si>
  <si>
    <t>*У стандартному опитувальнику є одне питання, важливе для характеристики роботи суду, однак за змістом воно не може включатись до розрахунку інтегральної оцінки доступності. Це показник «зручність графіка роботи канцелярії суду», стор.55 посібника з СОРС</t>
  </si>
  <si>
    <t>Зручність та комфортність перебування в суді. Інтегральні показники за картками громадянського звітування</t>
  </si>
  <si>
    <t>– достатність зручних місць для очікування, оформлення документів, підготовки до засідання</t>
  </si>
  <si>
    <t>– вільний доступ до побутових приміщень (туалетів)</t>
  </si>
  <si>
    <t>– чистота та прибраність приміщень</t>
  </si>
  <si>
    <t>– достатність освітлення</t>
  </si>
  <si>
    <t>Повнота та ясність інформації. Інтегральні показники за картками громадянського звітування</t>
  </si>
  <si>
    <t>Чи зручно у суді розташовані інформаційні стенди (дошки об’яв)?</t>
  </si>
  <si>
    <t>Чи повною мірою задовольняє Вас наявна в суді інформація щодо:</t>
  </si>
  <si>
    <t>– розташування кабінетів, залів судових засідань, інших приміщень</t>
  </si>
  <si>
    <t>– правил допуску в суд та перебування в ньому</t>
  </si>
  <si>
    <t>– справ, що призначені до розгляду</t>
  </si>
  <si>
    <t>– зразків документів (заяв, клопотань тощо)</t>
  </si>
  <si>
    <t>– порядку сплати судових зборів та мита, реквізити та розміри платежів</t>
  </si>
  <si>
    <t>Чи користувалися Ви сторінкою суду в мережі інтернет?</t>
  </si>
  <si>
    <t>відсоток</t>
  </si>
  <si>
    <t>Чи знайшли Ви на сторінці суду потрібну для Вас інформацію?</t>
  </si>
  <si>
    <t>Сприйняття роботи працівників апарату суду. Інтегральні показники за картками громадянського звітування</t>
  </si>
  <si>
    <t>Чи старанно працювали працівники суду?</t>
  </si>
  <si>
    <t>Чи не припускалися працівники апарату суду помилок, які призводили б до перероблення документів та (або) порушення строків розгляду справ?</t>
  </si>
  <si>
    <t>Чи виявили працівники апарату суду при спілкуванні з Вами:</t>
  </si>
  <si>
    <t>– доброзичливість, повагу, бажання допомогти</t>
  </si>
  <si>
    <t>– однакове ставлення до всіх, незалежно від соціального статусу</t>
  </si>
  <si>
    <t>– професіоналізм, знання своєї справи</t>
  </si>
  <si>
    <t>Дотримання термінів судового розгляду. Інтегральні показники за картками громадянського звітування</t>
  </si>
  <si>
    <t>Чи вчасно (відповідно до графіка) розпочалося останнє засідання по Вашій справі?</t>
  </si>
  <si>
    <t>Чи було враховано Ваші побажання при призначенні дня та часу засідання?</t>
  </si>
  <si>
    <t>Чи вчасно Ви отримували повістки та повідомлення про розгляд справи?</t>
  </si>
  <si>
    <t>Чи вважаєте Ви обґрунтованими затримки/ перенесення слухань у розгляді Вашої справи?</t>
  </si>
  <si>
    <t>Сприйняття роботи судді. Інтегральні показники за картками громадянського звітування</t>
  </si>
  <si>
    <t>– неупередженість та незалежність (суддя не піддався зовнішньому тиску, якщо такий був)</t>
  </si>
  <si>
    <t>– коректність, доброзичливість, ввічливість</t>
  </si>
  <si>
    <t>– належна підготовка до справи та знання справи</t>
  </si>
  <si>
    <t>– надання можливостей сторонам обґрунтовувати свою позицію</t>
  </si>
  <si>
    <t>– дотримання процедури розгляду</t>
  </si>
  <si>
    <t>Судове рішення. Відносні, кількісні та інтегральні показники за картками громадянського звітування тих респондентів, чиї справи вже завершено.</t>
  </si>
  <si>
    <t>Кількість респондентів, чиї справи вже завершено</t>
  </si>
  <si>
    <t>число</t>
  </si>
  <si>
    <t>Рішення на користь респондента</t>
  </si>
  <si>
    <t>Отримання респондентами тексту рішення по
справі</t>
  </si>
  <si>
    <t>Вчасне отримання респондентами тексту рішення по
справі</t>
  </si>
  <si>
    <t>Блок 2. Основна частина – оцінювання роботи суду за вимірами якості</t>
  </si>
  <si>
    <t>Легкість та доступність для розуміння мови
викладення рішення</t>
  </si>
  <si>
    <t xml:space="preserve">Узагальнена інтегральна оцінка роботи суду </t>
  </si>
  <si>
    <t>Доступність суду</t>
  </si>
  <si>
    <t>9 - КН</t>
  </si>
  <si>
    <t>Сприйняття респондентами обґрунтованості
рішення (чи було рішення добре обґрунтоване?)</t>
  </si>
  <si>
    <t>Середня кількість судових засідань, що відбулися по справах тих респондентів, чиї справи вже завершено</t>
  </si>
  <si>
    <t>Число</t>
  </si>
  <si>
    <t>Середня кількість судових засідань, що не відбулися через неналежну організацію роботи
суду</t>
  </si>
  <si>
    <t>Середня кількість візитів до суду, що не були
пов’язані з судовими засіданнями</t>
  </si>
  <si>
    <t>Зміни, рекомендації та система «Електронний суд»</t>
  </si>
  <si>
    <t>На думку учасників судових проваджень, чи забезпечують наявні матеріально-технічні ресурси потреби працівників суду для ефективного виконання своїх обов’язків?</t>
  </si>
  <si>
    <t>Не відповіли на питання</t>
  </si>
  <si>
    <t>Якщо Вам доводилося телефонувати до суду, чи завжди вдавалось додзвонитися та чи завжди вдавалось отримати потрібну інформацію?</t>
  </si>
  <si>
    <t>Якими є Ваші враження від візиту до суду сьогодні порівняно з Вашими очікуваннями?</t>
  </si>
  <si>
    <t>Кращі, ніж очікував (-ла)</t>
  </si>
  <si>
    <t>Гірші, ніж очікував (-ла)</t>
  </si>
  <si>
    <t>Відповідають очікуванням</t>
  </si>
  <si>
    <t>Якщо Ви були в цьому суді раніше (минулого року або ще раніше), то як, на Ваш погляд, змінилась якість роботи суду загалом?</t>
  </si>
  <si>
    <t>Покращилась значно</t>
  </si>
  <si>
    <t>Покращилась несуттєво</t>
  </si>
  <si>
    <t>Чи могли б Ви собі дозволити витрати на послуги адвоката у разі необхідності?
 Якщо респондент Вже користується послугами адвоката або є адвокатом сам (сама), або представляє інтереси держави, позначте відповідь «9» – «КН»!</t>
  </si>
  <si>
    <t>Залишилась без змін</t>
  </si>
  <si>
    <t>Дещо погіршилася</t>
  </si>
  <si>
    <t>Значно погіршилася</t>
  </si>
  <si>
    <t>*У стандартному опитувальнику є одне питання, важливе для характеристики роботи суду,</t>
  </si>
  <si>
    <t>однак за змістом воно не може включатись до розрахунку інтегральної оцінки доступності.</t>
  </si>
  <si>
    <t>Це показник «зручність графіка роботи канцелярії суду», стор.55 посібника з СОРС</t>
  </si>
  <si>
    <t>Важко сказати</t>
  </si>
  <si>
    <t>Зручність та комфортність перебування у суді</t>
  </si>
  <si>
    <t>Чи відомо Вам, що в Україні в усіх судах в тестовому режимі починаючи з 1 січня 2019 р. працює система «Електронний суд» для подання до суду та отримання від суду документів в режимі онлайн?</t>
  </si>
  <si>
    <t xml:space="preserve">Чи користувалися Ви особисто системою «Електронний суд»? </t>
  </si>
  <si>
    <t xml:space="preserve">Якщо Ви користувалися системою «Електронний суд» , дайте оцінку роботі цієї системи. Використовуйте 5-бальну шкалу
(1 – дуже погано,  2 – незадовільно, 3 – задовільно, 4 – добре, 5 – відмінно, 9 – КН)
</t>
  </si>
  <si>
    <t>Повнота та ясність інформації</t>
  </si>
  <si>
    <t>так</t>
  </si>
  <si>
    <t>ні</t>
  </si>
  <si>
    <t>Сприйняття роботи працівників апарату суду</t>
  </si>
  <si>
    <t>Дотримання строків судового розгляду</t>
  </si>
  <si>
    <t>Сприйняття роботи судді</t>
  </si>
  <si>
    <t>Чи були, на Вашу думку, характерними для судді, що розглядав Вашу справу (одноособово чи як голова колегії суддів):</t>
  </si>
  <si>
    <t>Судове рішення (якщо розгляд справи завершено)</t>
  </si>
  <si>
    <t>Чи рішення по Вашій справі було на Вашу користь?</t>
  </si>
  <si>
    <t>Чи плануєте Ви оскаржувати рішення по Вашій справі?</t>
  </si>
  <si>
    <t>Чи отримали Ви повний текст рішення по Вашій справі?</t>
  </si>
  <si>
    <t>Чи вчасно Ви отримали повний текст рішення по Вашій справі?</t>
  </si>
  <si>
    <t>Чи було рішення викладено легкою, доступною для розуміння мовою?</t>
  </si>
  <si>
    <t>На Вашу думку, чи було рішення по Вашій справі добре обґрунтованим?</t>
  </si>
  <si>
    <t>В процесі, де Ви є чи були учасником (учасницею) проваджень вкажіть загальну кількість:</t>
  </si>
  <si>
    <t>– судових засідань, що відбулися по Вашій справі</t>
  </si>
  <si>
    <t>– судових засідань, що не відбулися через неналежну організацію роботи суду</t>
  </si>
  <si>
    <t>– візитів до суду, що не були пов'язані з участю в судових засіданнях</t>
  </si>
  <si>
    <t>Позначка часу</t>
  </si>
  <si>
    <t xml:space="preserve">1. Вік </t>
  </si>
  <si>
    <t>2. Стать</t>
  </si>
  <si>
    <t>3. Рівень освіти</t>
  </si>
  <si>
    <t>4. Наявність вищої юридичної освіти</t>
  </si>
  <si>
    <t>5. Де Ви проживаєте</t>
  </si>
  <si>
    <t>8. В якому з видів судового процесу в цьому суді  Ви берете участь</t>
  </si>
  <si>
    <t>12. Оцініть, будь ласка, за 5-бальною шкалою якість роботи цього суду (1 – дуже погано, 5 – відмінно, 9 – КН)</t>
  </si>
  <si>
    <t xml:space="preserve">13. Який ступінь Вашої обізнаності з роботою судів та суддів у цілому </t>
  </si>
  <si>
    <t>14. В Україні існує можливість альтернативного (позасудового) вирішення спорів, наприклад, шляхом застосування медіації. Наскільки Ви вважаєте себе обізнаним(-ою) щодо альтернативного вирішення спорів?</t>
  </si>
  <si>
    <t>Доступність суду [Чи легко Вам було знайти будівлю суду?]</t>
  </si>
  <si>
    <t>Доступність суду [Чи зручно Вам діставатися до будівлі суду громадським транспортом?]</t>
  </si>
  <si>
    <t>Доступність суду [Чи зручно паркувати автомобіль (достатньо паркувальних місць) біля будівлі суду?]</t>
  </si>
  <si>
    <t>Доступність суду [Чи зазнавали Ви певних перешкод у доступі до приміщень суду через обмеження охорони?]</t>
  </si>
  <si>
    <t>Доступність суду [Як Ви вважаєте, чи люди з обмеженими можливостями можуть безперешкодно потрапити до приміщення суду і користуватися послугами суду?]</t>
  </si>
  <si>
    <t>Доступність суду [Якщо Вам доводилося телефонувати до суду, чи завжди вдавалось додзвонитися?]</t>
  </si>
  <si>
    <t>Доступність суду [Якщо Вам доводилося телефонувати до суду, чи завжди вдавалось отримати потрібну інформацію?]</t>
  </si>
  <si>
    <t>Доступність суду [Чи давав графік роботи канцелярії суду можливість вчасно та безперешкодно вирішувати Ваші справи у суді (подати позов, ознайомитися з матеріалами, отримати рішення, ухвалу, вирок та ін.)?]</t>
  </si>
  <si>
    <t>Доступність суду [Чи могли б Ви собі дозволити витрати на послуги адвоката у разі необхідності?]</t>
  </si>
  <si>
    <t>Зручність та комфортність перебування у суді [–	достатність зручних місць для очікування, оформлення документів, підготовки до засідання]</t>
  </si>
  <si>
    <t>Зручність та комфортність перебування у суді [–	вільний доступ до побутових приміщень (туалетів)]</t>
  </si>
  <si>
    <t>Зручність та комфортність перебування у суді [–	чистота та прибраність приміщень]</t>
  </si>
  <si>
    <t>Зручність та комфортність перебування у суді [–	достатність освітлення]</t>
  </si>
  <si>
    <t>Повнота та ясність інформації [Чи зручно у суді розташовані інформаційні стенди (дошки об’яв)?]</t>
  </si>
  <si>
    <t>Повнота та ясність інформації [–	розташування кабінетів, залів судових засідань, інших приміщень]</t>
  </si>
  <si>
    <t>Повнота та ясність інформації [–	правил допуску в суд та перебування в ньому]</t>
  </si>
  <si>
    <t>Повнота та ясність інформації [–	справ, що призначені до розгляду]</t>
  </si>
  <si>
    <t>Повнота та ясність інформації [–	зразків документів (заяв, клопотань тощо)]</t>
  </si>
  <si>
    <t>Повнота та ясність інформації [–	порядку сплати судових зборів та мита, реквізити та розміри платежів]</t>
  </si>
  <si>
    <t>Повнота та ясність інформації [Чи користувалися Ви сторінкою суду в мережі інтернет?]</t>
  </si>
  <si>
    <t>Повнота та ясність інформації [Чи знайшли Ви на сторінці суду потрібну для Вас інформацію?]</t>
  </si>
  <si>
    <t>Сприйняття роботи працівників апарату суду [Чи старанно працювали працівники суду?]</t>
  </si>
  <si>
    <t>Сприйняття роботи працівників апарату суду [Чи не припускалися працівники апарату суду помилок, які призводили б до перероблення документів та (або) порушення строків розгляду справ?]</t>
  </si>
  <si>
    <t>Сприйняття роботи працівників апарату суду [–	доброзичливість, повагу, бажання допомогти]</t>
  </si>
  <si>
    <t>Сприйняття роботи працівників апарату суду [–	однакове ставлення до всіх, незалежно від соціального статусу]</t>
  </si>
  <si>
    <t>Сприйняття роботи працівників апарату суду [–	професіоналізм, знання своєї справи]</t>
  </si>
  <si>
    <t>Дотримання строків судового розгляду [Чи вчасно (відповідно до графіка) розпочалося останнє засідання по Вашій справі?]</t>
  </si>
  <si>
    <t>Дотримання строків судового розгляду [Чи було враховано Ваші побажання при призначенні дня та часу засідання?]</t>
  </si>
  <si>
    <t>Дотримання строків судового розгляду [Чи вчасно Ви отримували повістки та повідомлення про розгляд справи?]</t>
  </si>
  <si>
    <t>Дотримання строків судового розгляду [Чи вважаєте Ви обґрунтованими затримки/ перенесення слухань у розгляді Вашої справи?]</t>
  </si>
  <si>
    <t>Сприйняття роботи судді [–	неупередженість та незалежність (суддя не піддався зовнішньому тиску, якщо такий був)]</t>
  </si>
  <si>
    <t>Сприйняття роботи судді [–	коректність, доброзичливість, ввічливість]</t>
  </si>
  <si>
    <t>Сприйняття роботи судді [–	належна підготовка до справи та знання справи]</t>
  </si>
  <si>
    <t>Сприйняття роботи судді [–	надання можливостей сторонам обґрунтовувати свою позицію]</t>
  </si>
  <si>
    <t>Сприйняття роботи судді [–	дотримання процедури розгляду]</t>
  </si>
  <si>
    <t>Судове рішення (якщо розгляд справи завершено) [Чи рішення по Вашій справі було на Вашу користь?]</t>
  </si>
  <si>
    <t>Судове рішення (якщо розгляд справи завершено) [Чи плануєте Ви оскаржувати рішення по Вашій справі?]</t>
  </si>
  <si>
    <t>Судове рішення (якщо розгляд справи завершено) [Чи отримали Ви повний текст рішення по Вашій справі?]</t>
  </si>
  <si>
    <t>Судове рішення (якщо розгляд справи завершено) [Чи вчасно Ви отримали повний текст рішення по Вашій справі?]</t>
  </si>
  <si>
    <t>Судове рішення (якщо розгляд справи завершено) [Чи було рішення викладено легкою, доступною для розуміння мовою?]</t>
  </si>
  <si>
    <t>Судове рішення (якщо розгляд справи завершено) [На Вашу думку, чи було рішення по Вашій справі добре обґрунтованим?]</t>
  </si>
  <si>
    <t>В процесі, де Ви є чи були учасником (учасницею) проваджень вкажіть загальну кількість судових засідань, що відбулися по Вашій справі</t>
  </si>
  <si>
    <t>В процесі, де Ви є чи були учасником (учасницею) проваджень вкажіть загальну кількість судових засідань, що не відбулися через неналежну організацію роботи суду</t>
  </si>
  <si>
    <t>В процесі, де Ви є чи були учасником (учасницею) проваджень вкажіть загальну кількість візитів до суду, що не були пов'язані з участю в судових засіданнях</t>
  </si>
  <si>
    <t xml:space="preserve">59. Які конкретні зміни, на Ваш погляд, необхідні для покращення роботи цього суду </t>
  </si>
  <si>
    <t>60. Як Ви вважаєте, чи наявні матеріально-технічні ресурси забезпечують потреби працівників суду для ефективного виконання своїх обов’язків? [1- Так, 2 - Ні, 9 - КН]</t>
  </si>
  <si>
    <t>61. Якими є Ваші враження від візиту до суду сьогодні порівняно з Вашими очікуваннями?</t>
  </si>
  <si>
    <t>62. Якщо Ви були в цьому суді раніше (минулого року або ще раніше), то як, на Ваш погляд, змінилась якість роботи суду загалом?</t>
  </si>
  <si>
    <t>63.Чи відомо Вам, що в Україні в усіх судах в тестовому режимі починаючи з 1 січня 2019 р. працює система «Електронний суд» для подання до суду та отримання від суду документів в режимі онлайн?</t>
  </si>
  <si>
    <t xml:space="preserve">64.Чи користувалися Ви особисто системою «Електронний суд»? </t>
  </si>
  <si>
    <t>65. Якщо Ви користувалися системою «Електронний суд» , дайте оцінку роботі цієї системи. [1 – дуже погано,  2 – незадовільно, 3 – задовільно, 4 – добре, 5 – відмінно, 9 – КН]</t>
  </si>
  <si>
    <t>Якщо не заперечуєте, поясніть свою оцінку системи «Електронний суд»</t>
  </si>
  <si>
    <t>26–39 років</t>
  </si>
  <si>
    <t>Це мій перший судовий процес</t>
  </si>
  <si>
    <t>кн</t>
  </si>
  <si>
    <t>КН</t>
  </si>
  <si>
    <t>Інше (вкажіть)</t>
  </si>
  <si>
    <t>Збільшити кількість суддів, працівників та приміщень.</t>
  </si>
  <si>
    <t>40–59 років</t>
  </si>
  <si>
    <t>Не був ніколи учасником процесу в цьому суді</t>
  </si>
  <si>
    <t>Збільшити кількість суддів та працівників апарату.</t>
  </si>
  <si>
    <t>Збільшення заробітньої плати для працівників апаратної служби суда.</t>
  </si>
  <si>
    <t>Приміщення для нормальної організації ротоби апарату.</t>
  </si>
  <si>
    <t>Добре</t>
  </si>
  <si>
    <t>10+</t>
  </si>
  <si>
    <t>1. Наявність внутрішньої вбиральні.
2. Парапет і під'їзд для осіб з обмеженнями.
3. Питна вода.</t>
  </si>
  <si>
    <t>Все на належному рівні.</t>
  </si>
  <si>
    <t>КН (код невідповіді)</t>
  </si>
  <si>
    <t>Більше місць для очікування.</t>
  </si>
  <si>
    <t>На мою думку є необхідність призначення суддів на вакантні посади. В цілому роботою суду задоволений, працівники суду професійні, доброзичливі.</t>
  </si>
  <si>
    <t>Блок 3. Зміни, рекомендації та система «Електронний суд»</t>
  </si>
  <si>
    <t>Як Ви вважаєте, чи наявні матеріально-технічні ресурси забезпечують потреби працівників суду для ефективного виконання своїх обов’язків?</t>
  </si>
  <si>
    <t xml:space="preserve">Якщо Ви користувалися системою «Електронний суд» , дайте оцінку роботі цієї системи. Використовуйте 5-бальну шкалу
(1 – дуже погано,  2 – незадовільно, 3 – задовільно, 4 – добре, 5 – відмінно, 9 – КН)
</t>
  </si>
  <si>
    <t>Респонденти, що вважають себе незаможними</t>
  </si>
  <si>
    <t>Респонденти, що вважають своє матеріальне становище нижчим середнього</t>
  </si>
  <si>
    <t>Респонденти, що вважають своє матеріальне становище середнім</t>
  </si>
  <si>
    <t>Респонденти, що вважають своє матеріальне становище вищим середнього</t>
  </si>
  <si>
    <t>Респонденти, що вважають себе заможними</t>
  </si>
  <si>
    <t>Респонденти, які представляють особисто себе</t>
  </si>
  <si>
    <t>Респонденти, які представляють іншу особу</t>
  </si>
  <si>
    <t>Інші респонденти</t>
  </si>
  <si>
    <t>Чи зручно Вам діставатися до будівлі суду громадським транспортом?</t>
  </si>
  <si>
    <t>Чи зручно паркувати автомобіль (достатньо паркувальних місць) біля будівлі суду?</t>
  </si>
  <si>
    <t>Чи зазнавали Ви перешкод у доступі до приміщень суду через охорону?</t>
  </si>
  <si>
    <t>Чи можуть люди з обмеженими можливостями безперешкодно потрапити до приміщення суду і користуватися послугами суду?</t>
  </si>
  <si>
    <t>Чи давав графік роботи канцелярії суду можливість вчасно та безперешкодно вирішувати Ваші справи у суді</t>
  </si>
  <si>
    <t>Чи могли б Ви собі дозволити витрати на послуги адвоката у разі необхідності?</t>
  </si>
  <si>
    <t>достатність місць для очікування, оформлення документів, підготовки до засідання</t>
  </si>
  <si>
    <t>вільний доступ до побутових приміщень (туалетів)</t>
  </si>
  <si>
    <t>чистота та прибраність приміщень</t>
  </si>
  <si>
    <t>достатність освітлення</t>
  </si>
  <si>
    <t>Чи задовольняє Вас інформація щодо розташування кабінетів, залів судових засідань, інших приміщень</t>
  </si>
  <si>
    <t>Чи задовольняє Вас інформація щодо правил допуску в суд та перебування в ньому</t>
  </si>
  <si>
    <t>Чи задовольняє Вас інформація щодо справ, що призначені до розгляду</t>
  </si>
  <si>
    <t>Чи задовольняє Вас інформація щодо зразків документів (заяв, клопотань тощо)</t>
  </si>
  <si>
    <t>Чи задовольняє Вас інформація щодо порядку сплати судових зборів та мита, реквізити та розміри платежів</t>
  </si>
  <si>
    <t>Чи виявили працівники апарату суду при спілкуванні з Вами доброзичливість, повагу, бажання допомогти</t>
  </si>
  <si>
    <t>Чи виявили працівники апарату суду при спілкуванні з Вами однакове ставлення до всіх, незалежно від соціального статусу</t>
  </si>
  <si>
    <t>Чи виявили працівники апарату суду при спілкуванні з Вами професіоналізм, знання своєї справи</t>
  </si>
</sst>
</file>

<file path=xl/styles.xml><?xml version="1.0" encoding="utf-8"?>
<styleSheet xmlns="http://schemas.openxmlformats.org/spreadsheetml/2006/main">
  <numFmts count="1">
    <numFmt numFmtId="164" formatCode="m/d/yyyy\ h:mm:ss"/>
  </numFmts>
  <fonts count="30">
    <font>
      <sz val="10"/>
      <color rgb="FF000000"/>
      <name val="Arial"/>
    </font>
    <font>
      <sz val="10"/>
      <name val="Arial"/>
    </font>
    <font>
      <sz val="11"/>
      <color rgb="FF000000"/>
      <name val="Times New Roman"/>
    </font>
    <font>
      <sz val="10"/>
      <name val="Times New Roman"/>
    </font>
    <font>
      <b/>
      <sz val="10"/>
      <name val="Arial"/>
    </font>
    <font>
      <b/>
      <u/>
      <sz val="14"/>
      <color rgb="FF000000"/>
      <name val="Times New Roman"/>
    </font>
    <font>
      <b/>
      <sz val="14"/>
      <color rgb="FF000000"/>
      <name val="Times New Roman"/>
    </font>
    <font>
      <b/>
      <u/>
      <sz val="14"/>
      <color rgb="FF000000"/>
      <name val="Times New Roman"/>
    </font>
    <font>
      <sz val="14"/>
      <color rgb="FF000000"/>
      <name val="Times New Roman"/>
    </font>
    <font>
      <b/>
      <sz val="11"/>
      <color rgb="FF000000"/>
      <name val="Times New Roman"/>
    </font>
    <font>
      <b/>
      <sz val="12"/>
      <color rgb="FF000000"/>
      <name val="Times New Roman"/>
    </font>
    <font>
      <sz val="12"/>
      <color rgb="FF000000"/>
      <name val="Times New Roman"/>
    </font>
    <font>
      <b/>
      <sz val="12"/>
      <name val="Arial"/>
    </font>
    <font>
      <sz val="10"/>
      <name val="Arial"/>
    </font>
    <font>
      <sz val="11"/>
      <name val="Arial"/>
    </font>
    <font>
      <sz val="12"/>
      <name val="Arial"/>
    </font>
    <font>
      <b/>
      <sz val="14"/>
      <name val="Arial"/>
    </font>
    <font>
      <b/>
      <sz val="14"/>
      <name val="Times New Roman"/>
    </font>
    <font>
      <b/>
      <sz val="12"/>
      <name val="Times New Roman"/>
    </font>
    <font>
      <b/>
      <sz val="11"/>
      <name val="Arial"/>
    </font>
    <font>
      <sz val="12"/>
      <name val="Times New Roman"/>
    </font>
    <font>
      <sz val="11"/>
      <name val="Times New Roman"/>
    </font>
    <font>
      <b/>
      <sz val="11"/>
      <name val="Times New Roman"/>
    </font>
    <font>
      <b/>
      <u/>
      <sz val="14"/>
      <name val="Arial"/>
    </font>
    <font>
      <b/>
      <sz val="18"/>
      <name val="Arial"/>
    </font>
    <font>
      <b/>
      <sz val="18"/>
      <name val="Times New Roman"/>
    </font>
    <font>
      <b/>
      <u/>
      <sz val="14"/>
      <color rgb="FF000000"/>
      <name val="Times New Roman"/>
    </font>
    <font>
      <b/>
      <u/>
      <sz val="12"/>
      <name val="Arial"/>
    </font>
    <font>
      <i/>
      <sz val="11"/>
      <name val="Arial"/>
    </font>
    <font>
      <i/>
      <sz val="12"/>
      <name val="Arial"/>
    </font>
  </fonts>
  <fills count="11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rgb="FFE6B8AF"/>
        <bgColor rgb="FFE6B8AF"/>
      </patternFill>
    </fill>
    <fill>
      <patternFill patternType="solid">
        <fgColor rgb="FFD9EAD3"/>
        <bgColor rgb="FFD9EAD3"/>
      </patternFill>
    </fill>
    <fill>
      <patternFill patternType="solid">
        <fgColor rgb="FFD9D2E9"/>
        <bgColor rgb="FFD9D2E9"/>
      </patternFill>
    </fill>
    <fill>
      <patternFill patternType="solid">
        <fgColor rgb="FFC9DAF8"/>
        <bgColor rgb="FFC9DAF8"/>
      </patternFill>
    </fill>
    <fill>
      <patternFill patternType="solid">
        <fgColor rgb="FFF4CCCC"/>
        <bgColor rgb="FFF4CCCC"/>
      </patternFill>
    </fill>
    <fill>
      <patternFill patternType="solid">
        <fgColor rgb="FFCFE2F3"/>
        <bgColor rgb="FFCFE2F3"/>
      </patternFill>
    </fill>
    <fill>
      <patternFill patternType="solid">
        <fgColor rgb="FFFFF2CC"/>
        <bgColor rgb="FFFFF2CC"/>
      </patternFill>
    </fill>
    <fill>
      <patternFill patternType="solid">
        <fgColor rgb="FF93C47D"/>
        <bgColor rgb="FF93C47D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77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/>
    <xf numFmtId="0" fontId="2" fillId="0" borderId="0" xfId="0" applyFont="1" applyAlignment="1"/>
    <xf numFmtId="0" fontId="3" fillId="0" borderId="0" xfId="0" applyFont="1"/>
    <xf numFmtId="0" fontId="4" fillId="0" borderId="0" xfId="0" applyFont="1" applyAlignment="1"/>
    <xf numFmtId="0" fontId="5" fillId="0" borderId="0" xfId="0" applyFont="1" applyAlignment="1">
      <alignment wrapText="1"/>
    </xf>
    <xf numFmtId="0" fontId="6" fillId="2" borderId="0" xfId="0" applyFont="1" applyFill="1" applyAlignment="1"/>
    <xf numFmtId="0" fontId="7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6" fillId="2" borderId="1" xfId="0" applyFont="1" applyFill="1" applyBorder="1" applyAlignment="1"/>
    <xf numFmtId="0" fontId="8" fillId="2" borderId="1" xfId="0" applyFont="1" applyFill="1" applyBorder="1" applyAlignment="1"/>
    <xf numFmtId="0" fontId="9" fillId="0" borderId="0" xfId="0" applyFont="1" applyAlignment="1"/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2" fillId="0" borderId="3" xfId="0" applyFont="1" applyBorder="1" applyAlignment="1">
      <alignment vertical="top"/>
    </xf>
    <xf numFmtId="0" fontId="9" fillId="0" borderId="0" xfId="0" applyFont="1" applyAlignment="1"/>
    <xf numFmtId="0" fontId="2" fillId="0" borderId="1" xfId="0" applyFont="1" applyBorder="1" applyAlignment="1">
      <alignment horizontal="center"/>
    </xf>
    <xf numFmtId="10" fontId="2" fillId="0" borderId="5" xfId="0" applyNumberFormat="1" applyFont="1" applyBorder="1" applyAlignment="1">
      <alignment horizontal="center"/>
    </xf>
    <xf numFmtId="0" fontId="2" fillId="0" borderId="0" xfId="0" applyFont="1" applyAlignment="1">
      <alignment vertical="top"/>
    </xf>
    <xf numFmtId="0" fontId="11" fillId="0" borderId="1" xfId="0" applyFont="1" applyBorder="1" applyAlignment="1">
      <alignment vertical="top"/>
    </xf>
    <xf numFmtId="0" fontId="11" fillId="0" borderId="1" xfId="0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10" fontId="1" fillId="0" borderId="0" xfId="0" applyNumberFormat="1" applyFont="1"/>
    <xf numFmtId="0" fontId="9" fillId="0" borderId="1" xfId="0" applyFont="1" applyBorder="1" applyAlignment="1">
      <alignment horizontal="left"/>
    </xf>
    <xf numFmtId="0" fontId="2" fillId="0" borderId="3" xfId="0" applyFont="1" applyBorder="1" applyAlignment="1">
      <alignment vertical="top"/>
    </xf>
    <xf numFmtId="0" fontId="9" fillId="0" borderId="0" xfId="0" applyFont="1" applyAlignment="1">
      <alignment horizontal="center"/>
    </xf>
    <xf numFmtId="0" fontId="2" fillId="0" borderId="3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left" vertical="top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4" fillId="0" borderId="0" xfId="0" applyFont="1" applyAlignment="1">
      <alignment horizontal="left" vertical="top"/>
    </xf>
    <xf numFmtId="0" fontId="15" fillId="0" borderId="1" xfId="0" applyFont="1" applyBorder="1" applyAlignment="1">
      <alignment horizontal="left" vertical="top"/>
    </xf>
    <xf numFmtId="0" fontId="2" fillId="0" borderId="4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6" fillId="0" borderId="0" xfId="0" applyFont="1" applyAlignment="1"/>
    <xf numFmtId="0" fontId="12" fillId="0" borderId="1" xfId="0" applyFont="1" applyBorder="1" applyAlignment="1"/>
    <xf numFmtId="0" fontId="12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wrapText="1"/>
    </xf>
    <xf numFmtId="2" fontId="10" fillId="0" borderId="1" xfId="0" applyNumberFormat="1" applyFont="1" applyBorder="1" applyAlignment="1">
      <alignment horizontal="center"/>
    </xf>
    <xf numFmtId="2" fontId="1" fillId="0" borderId="0" xfId="0" applyNumberFormat="1" applyFont="1"/>
    <xf numFmtId="2" fontId="6" fillId="0" borderId="1" xfId="0" applyNumberFormat="1" applyFont="1" applyBorder="1" applyAlignment="1">
      <alignment horizontal="center"/>
    </xf>
    <xf numFmtId="2" fontId="9" fillId="3" borderId="1" xfId="0" applyNumberFormat="1" applyFont="1" applyFill="1" applyBorder="1" applyAlignment="1">
      <alignment horizontal="center"/>
    </xf>
    <xf numFmtId="2" fontId="9" fillId="4" borderId="1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9" fillId="6" borderId="1" xfId="0" applyNumberFormat="1" applyFont="1" applyFill="1" applyBorder="1" applyAlignment="1">
      <alignment horizontal="center"/>
    </xf>
    <xf numFmtId="2" fontId="9" fillId="7" borderId="1" xfId="0" applyNumberFormat="1" applyFont="1" applyFill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2" fontId="9" fillId="9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2" fillId="0" borderId="0" xfId="0" applyFont="1" applyAlignment="1">
      <alignment wrapText="1"/>
    </xf>
    <xf numFmtId="0" fontId="17" fillId="4" borderId="4" xfId="0" applyFont="1" applyFill="1" applyBorder="1" applyAlignment="1"/>
    <xf numFmtId="0" fontId="17" fillId="4" borderId="6" xfId="0" applyFont="1" applyFill="1" applyBorder="1" applyAlignment="1">
      <alignment wrapText="1"/>
    </xf>
    <xf numFmtId="0" fontId="17" fillId="4" borderId="6" xfId="0" applyFont="1" applyFill="1" applyBorder="1"/>
    <xf numFmtId="2" fontId="17" fillId="4" borderId="2" xfId="0" applyNumberFormat="1" applyFont="1" applyFill="1" applyBorder="1" applyAlignment="1">
      <alignment horizontal="center"/>
    </xf>
    <xf numFmtId="0" fontId="16" fillId="0" borderId="0" xfId="0" applyFont="1" applyAlignment="1"/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19" fillId="0" borderId="0" xfId="0" applyFont="1" applyAlignment="1">
      <alignment wrapText="1"/>
    </xf>
    <xf numFmtId="0" fontId="20" fillId="0" borderId="1" xfId="0" applyFont="1" applyBorder="1" applyAlignment="1">
      <alignment wrapText="1"/>
    </xf>
    <xf numFmtId="0" fontId="20" fillId="0" borderId="4" xfId="0" applyFont="1" applyBorder="1" applyAlignment="1">
      <alignment horizontal="center" wrapText="1"/>
    </xf>
    <xf numFmtId="2" fontId="20" fillId="0" borderId="1" xfId="0" applyNumberFormat="1" applyFont="1" applyBorder="1" applyAlignment="1">
      <alignment horizontal="center"/>
    </xf>
    <xf numFmtId="0" fontId="20" fillId="0" borderId="1" xfId="0" applyFont="1" applyBorder="1" applyAlignment="1"/>
    <xf numFmtId="2" fontId="20" fillId="6" borderId="1" xfId="0" applyNumberFormat="1" applyFont="1" applyFill="1" applyBorder="1" applyAlignment="1">
      <alignment horizontal="center"/>
    </xf>
    <xf numFmtId="0" fontId="20" fillId="0" borderId="1" xfId="0" applyFont="1" applyBorder="1"/>
    <xf numFmtId="2" fontId="18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horizontal="center"/>
    </xf>
    <xf numFmtId="0" fontId="21" fillId="0" borderId="1" xfId="0" applyFont="1" applyBorder="1" applyAlignment="1"/>
    <xf numFmtId="0" fontId="3" fillId="0" borderId="1" xfId="0" applyFont="1" applyBorder="1"/>
    <xf numFmtId="2" fontId="22" fillId="0" borderId="1" xfId="0" applyNumberFormat="1" applyFont="1" applyBorder="1" applyAlignment="1">
      <alignment horizontal="center"/>
    </xf>
    <xf numFmtId="10" fontId="20" fillId="0" borderId="1" xfId="0" applyNumberFormat="1" applyFont="1" applyBorder="1" applyAlignment="1">
      <alignment horizontal="center"/>
    </xf>
    <xf numFmtId="0" fontId="20" fillId="0" borderId="0" xfId="0" applyFont="1"/>
    <xf numFmtId="0" fontId="18" fillId="0" borderId="1" xfId="0" applyFont="1" applyBorder="1" applyAlignment="1">
      <alignment horizontal="center" wrapText="1"/>
    </xf>
    <xf numFmtId="10" fontId="20" fillId="0" borderId="1" xfId="0" applyNumberFormat="1" applyFont="1" applyBorder="1" applyAlignment="1">
      <alignment horizontal="center" wrapText="1"/>
    </xf>
    <xf numFmtId="0" fontId="20" fillId="0" borderId="2" xfId="0" applyFont="1" applyBorder="1" applyAlignment="1">
      <alignment horizontal="center" wrapText="1"/>
    </xf>
    <xf numFmtId="10" fontId="20" fillId="0" borderId="3" xfId="0" applyNumberFormat="1" applyFont="1" applyBorder="1" applyAlignment="1">
      <alignment horizontal="center" wrapText="1"/>
    </xf>
    <xf numFmtId="0" fontId="23" fillId="0" borderId="0" xfId="0" applyFont="1" applyAlignment="1"/>
    <xf numFmtId="0" fontId="19" fillId="0" borderId="0" xfId="0" applyFont="1" applyAlignment="1">
      <alignment horizontal="center" vertical="top" wrapText="1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2" fontId="25" fillId="10" borderId="0" xfId="0" applyNumberFormat="1" applyFont="1" applyFill="1" applyAlignment="1">
      <alignment horizontal="center" wrapText="1"/>
    </xf>
    <xf numFmtId="0" fontId="19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/>
    </xf>
    <xf numFmtId="2" fontId="20" fillId="0" borderId="3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vertical="top" wrapText="1"/>
    </xf>
    <xf numFmtId="0" fontId="21" fillId="0" borderId="1" xfId="0" applyFont="1" applyBorder="1" applyAlignment="1">
      <alignment horizontal="center" wrapText="1"/>
    </xf>
    <xf numFmtId="2" fontId="21" fillId="0" borderId="1" xfId="0" applyNumberFormat="1" applyFont="1" applyBorder="1" applyAlignment="1">
      <alignment horizontal="center" wrapText="1"/>
    </xf>
    <xf numFmtId="2" fontId="20" fillId="0" borderId="3" xfId="0" applyNumberFormat="1" applyFont="1" applyBorder="1" applyAlignment="1">
      <alignment horizontal="center" wrapText="1"/>
    </xf>
    <xf numFmtId="0" fontId="26" fillId="0" borderId="0" xfId="0" applyFont="1" applyAlignment="1"/>
    <xf numFmtId="0" fontId="15" fillId="0" borderId="1" xfId="0" applyFont="1" applyBorder="1" applyAlignment="1"/>
    <xf numFmtId="10" fontId="2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left" vertical="top" wrapText="1"/>
    </xf>
    <xf numFmtId="0" fontId="14" fillId="6" borderId="1" xfId="0" applyFont="1" applyFill="1" applyBorder="1" applyAlignment="1">
      <alignment vertical="top" wrapText="1"/>
    </xf>
    <xf numFmtId="0" fontId="21" fillId="6" borderId="1" xfId="0" applyFont="1" applyFill="1" applyBorder="1" applyAlignment="1">
      <alignment horizontal="center" wrapText="1"/>
    </xf>
    <xf numFmtId="2" fontId="21" fillId="6" borderId="1" xfId="0" applyNumberFormat="1" applyFont="1" applyFill="1" applyBorder="1" applyAlignment="1">
      <alignment horizontal="center" wrapText="1"/>
    </xf>
    <xf numFmtId="2" fontId="18" fillId="0" borderId="1" xfId="0" applyNumberFormat="1" applyFont="1" applyBorder="1" applyAlignment="1">
      <alignment horizontal="center"/>
    </xf>
    <xf numFmtId="0" fontId="1" fillId="0" borderId="0" xfId="0" applyFont="1" applyAlignment="1"/>
    <xf numFmtId="0" fontId="1" fillId="6" borderId="0" xfId="0" applyFont="1" applyFill="1" applyAlignment="1"/>
    <xf numFmtId="0" fontId="1" fillId="6" borderId="0" xfId="0" applyFont="1" applyFill="1"/>
    <xf numFmtId="0" fontId="27" fillId="0" borderId="0" xfId="0" applyFont="1" applyAlignment="1"/>
    <xf numFmtId="0" fontId="15" fillId="0" borderId="0" xfId="0" applyFont="1" applyAlignment="1"/>
    <xf numFmtId="0" fontId="28" fillId="0" borderId="1" xfId="0" applyFont="1" applyBorder="1" applyAlignment="1">
      <alignment vertical="top" wrapText="1"/>
    </xf>
    <xf numFmtId="0" fontId="29" fillId="0" borderId="1" xfId="0" applyFont="1" applyBorder="1" applyAlignment="1">
      <alignment wrapText="1"/>
    </xf>
    <xf numFmtId="0" fontId="19" fillId="0" borderId="1" xfId="0" applyFont="1" applyBorder="1" applyAlignment="1">
      <alignment horizontal="left" vertical="top" wrapText="1"/>
    </xf>
    <xf numFmtId="164" fontId="13" fillId="0" borderId="0" xfId="0" applyNumberFormat="1" applyFont="1" applyAlignment="1"/>
    <xf numFmtId="0" fontId="13" fillId="0" borderId="0" xfId="0" applyFont="1" applyAlignment="1"/>
    <xf numFmtId="0" fontId="13" fillId="0" borderId="9" xfId="0" applyFont="1" applyBorder="1" applyAlignment="1"/>
    <xf numFmtId="0" fontId="13" fillId="0" borderId="9" xfId="0" applyFont="1" applyBorder="1" applyAlignment="1"/>
    <xf numFmtId="164" fontId="13" fillId="0" borderId="0" xfId="0" applyNumberFormat="1" applyFont="1" applyAlignment="1">
      <alignment horizontal="right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3" fillId="0" borderId="0" xfId="0" applyFont="1" applyAlignment="1"/>
    <xf numFmtId="0" fontId="4" fillId="0" borderId="0" xfId="0" applyFont="1"/>
    <xf numFmtId="0" fontId="20" fillId="0" borderId="4" xfId="0" applyFont="1" applyBorder="1" applyAlignment="1"/>
    <xf numFmtId="0" fontId="1" fillId="0" borderId="6" xfId="0" applyFont="1" applyBorder="1"/>
    <xf numFmtId="0" fontId="1" fillId="0" borderId="2" xfId="0" applyFont="1" applyBorder="1"/>
    <xf numFmtId="0" fontId="20" fillId="0" borderId="4" xfId="0" applyFont="1" applyBorder="1" applyAlignment="1">
      <alignment horizontal="center" wrapText="1"/>
    </xf>
    <xf numFmtId="0" fontId="12" fillId="0" borderId="4" xfId="0" applyFont="1" applyBorder="1" applyAlignment="1">
      <alignment vertical="top" wrapText="1"/>
    </xf>
    <xf numFmtId="0" fontId="21" fillId="0" borderId="4" xfId="0" applyFont="1" applyBorder="1" applyAlignment="1">
      <alignment horizontal="center" wrapText="1"/>
    </xf>
    <xf numFmtId="0" fontId="22" fillId="0" borderId="4" xfId="0" applyFont="1" applyBorder="1"/>
    <xf numFmtId="0" fontId="18" fillId="0" borderId="4" xfId="0" applyFont="1" applyBorder="1" applyAlignment="1">
      <alignment horizontal="center" wrapText="1"/>
    </xf>
    <xf numFmtId="0" fontId="19" fillId="0" borderId="4" xfId="0" applyFont="1" applyBorder="1" applyAlignment="1">
      <alignment vertical="top" wrapText="1"/>
    </xf>
    <xf numFmtId="0" fontId="14" fillId="0" borderId="4" xfId="0" applyFont="1" applyBorder="1" applyAlignment="1">
      <alignment vertical="top" wrapText="1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vertical="top" wrapText="1"/>
    </xf>
    <xf numFmtId="0" fontId="20" fillId="6" borderId="4" xfId="0" applyFont="1" applyFill="1" applyBorder="1" applyAlignment="1">
      <alignment vertical="top" wrapText="1"/>
    </xf>
    <xf numFmtId="0" fontId="20" fillId="6" borderId="4" xfId="0" applyFont="1" applyFill="1" applyBorder="1" applyAlignment="1">
      <alignment horizontal="center" wrapText="1"/>
    </xf>
    <xf numFmtId="0" fontId="19" fillId="0" borderId="4" xfId="0" applyFont="1" applyBorder="1" applyAlignment="1">
      <alignment horizontal="center" wrapText="1"/>
    </xf>
    <xf numFmtId="0" fontId="14" fillId="0" borderId="0" xfId="0" applyFont="1" applyAlignment="1">
      <alignment horizontal="left" wrapText="1"/>
    </xf>
    <xf numFmtId="0" fontId="0" fillId="0" borderId="0" xfId="0" applyFont="1" applyAlignment="1"/>
    <xf numFmtId="0" fontId="1" fillId="6" borderId="0" xfId="0" applyFont="1" applyFill="1" applyAlignment="1">
      <alignment wrapText="1"/>
    </xf>
    <xf numFmtId="0" fontId="18" fillId="0" borderId="4" xfId="0" applyFont="1" applyBorder="1" applyAlignment="1">
      <alignment vertical="top" wrapText="1"/>
    </xf>
    <xf numFmtId="0" fontId="18" fillId="0" borderId="4" xfId="0" applyFont="1" applyBorder="1"/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/>
    <xf numFmtId="0" fontId="20" fillId="0" borderId="4" xfId="0" applyFont="1" applyBorder="1" applyAlignment="1">
      <alignment wrapText="1"/>
    </xf>
    <xf numFmtId="0" fontId="12" fillId="0" borderId="0" xfId="0" applyFont="1" applyAlignment="1">
      <alignment wrapText="1"/>
    </xf>
    <xf numFmtId="0" fontId="11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wrapText="1"/>
    </xf>
    <xf numFmtId="0" fontId="16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7" xfId="0" applyFont="1" applyBorder="1" applyAlignment="1">
      <alignment vertical="top" wrapText="1"/>
    </xf>
    <xf numFmtId="0" fontId="1" fillId="0" borderId="8" xfId="0" applyFont="1" applyBorder="1"/>
    <xf numFmtId="0" fontId="1" fillId="0" borderId="5" xfId="0" applyFont="1" applyBorder="1"/>
    <xf numFmtId="0" fontId="12" fillId="6" borderId="4" xfId="0" applyFont="1" applyFill="1" applyBorder="1" applyAlignment="1">
      <alignment wrapText="1"/>
    </xf>
    <xf numFmtId="0" fontId="12" fillId="4" borderId="4" xfId="0" applyFont="1" applyFill="1" applyBorder="1" applyAlignment="1">
      <alignment wrapText="1"/>
    </xf>
    <xf numFmtId="0" fontId="12" fillId="5" borderId="4" xfId="0" applyFont="1" applyFill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12" fillId="3" borderId="4" xfId="0" applyFont="1" applyFill="1" applyBorder="1" applyAlignment="1">
      <alignment wrapText="1"/>
    </xf>
    <xf numFmtId="0" fontId="16" fillId="0" borderId="4" xfId="0" applyFont="1" applyBorder="1" applyAlignment="1">
      <alignment wrapText="1"/>
    </xf>
    <xf numFmtId="0" fontId="9" fillId="0" borderId="4" xfId="0" applyFont="1" applyBorder="1" applyAlignment="1">
      <alignment horizontal="left"/>
    </xf>
    <xf numFmtId="0" fontId="5" fillId="0" borderId="0" xfId="0" applyFont="1" applyAlignment="1">
      <alignment wrapText="1"/>
    </xf>
    <xf numFmtId="0" fontId="12" fillId="9" borderId="4" xfId="0" applyFont="1" applyFill="1" applyBorder="1" applyAlignment="1">
      <alignment wrapText="1"/>
    </xf>
    <xf numFmtId="0" fontId="12" fillId="8" borderId="4" xfId="0" applyFont="1" applyFill="1" applyBorder="1" applyAlignment="1">
      <alignment wrapText="1"/>
    </xf>
    <xf numFmtId="0" fontId="2" fillId="0" borderId="4" xfId="0" applyFont="1" applyBorder="1" applyAlignment="1">
      <alignment horizontal="left" vertical="top" wrapText="1"/>
    </xf>
    <xf numFmtId="0" fontId="12" fillId="7" borderId="4" xfId="0" applyFont="1" applyFill="1" applyBorder="1" applyAlignment="1">
      <alignment wrapText="1"/>
    </xf>
    <xf numFmtId="0" fontId="24" fillId="1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roundedCorners val="1"/>
  <c:chart>
    <c:title>
      <c:tx>
        <c:rich>
          <a:bodyPr/>
          <a:lstStyle/>
          <a:p>
            <a:pPr lvl="0">
              <a:defRPr b="0"/>
            </a:pPr>
            <a:r>
              <a:t>Розподіл респондентів за віком</a:t>
            </a:r>
          </a:p>
        </c:rich>
      </c:tx>
    </c:title>
    <c:view3D>
      <c:rotX val="50"/>
      <c:rAngAx val="1"/>
    </c:view3D>
    <c:plotArea>
      <c:layout/>
      <c:pie3DChart>
        <c:varyColors val="1"/>
        <c:ser>
          <c:idx val="0"/>
          <c:order val="0"/>
          <c:dPt>
            <c:idx val="0"/>
            <c:spPr>
              <a:solidFill>
                <a:srgbClr val="3366CC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290-4292-ABAC-2C60D55D7332}"/>
              </c:ext>
            </c:extLst>
          </c:dPt>
          <c:dPt>
            <c:idx val="1"/>
            <c:spPr>
              <a:solidFill>
                <a:srgbClr val="DC391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290-4292-ABAC-2C60D55D7332}"/>
              </c:ext>
            </c:extLst>
          </c:dPt>
          <c:dPt>
            <c:idx val="2"/>
            <c:spPr>
              <a:solidFill>
                <a:srgbClr val="FF99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290-4292-ABAC-2C60D55D7332}"/>
              </c:ext>
            </c:extLst>
          </c:dPt>
          <c:dPt>
            <c:idx val="3"/>
            <c:spPr>
              <a:solidFill>
                <a:srgbClr val="109618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290-4292-ABAC-2C60D55D7332}"/>
              </c:ext>
            </c:extLst>
          </c:dPt>
          <c:cat>
            <c:strRef>
              <c:f>Block1!$A$6:$A$9</c:f>
              <c:strCache>
                <c:ptCount val="4"/>
                <c:pt idx="0">
                  <c:v>18-25 років</c:v>
                </c:pt>
                <c:pt idx="1">
                  <c:v>26-39 років</c:v>
                </c:pt>
                <c:pt idx="2">
                  <c:v>40-59 років</c:v>
                </c:pt>
                <c:pt idx="3">
                  <c:v>60 років і старше</c:v>
                </c:pt>
              </c:strCache>
            </c:strRef>
          </c:cat>
          <c:val>
            <c:numRef>
              <c:f>Block1!$B$6:$B$9</c:f>
              <c:numCache>
                <c:formatCode>General</c:formatCode>
                <c:ptCount val="4"/>
                <c:pt idx="0">
                  <c:v>0</c:v>
                </c:pt>
                <c:pt idx="1">
                  <c:v>11</c:v>
                </c:pt>
                <c:pt idx="2">
                  <c:v>13</c:v>
                </c:pt>
                <c:pt idx="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290-4292-ABAC-2C60D55D7332}"/>
            </c:ext>
          </c:extLst>
        </c:ser>
        <c:dLbls/>
      </c:pie3DChart>
    </c:plotArea>
    <c:legend>
      <c:legendPos val="r"/>
    </c:legend>
    <c:plotVisOnly val="1"/>
    <c:dispBlanksAs val="zero"/>
    <c:showDLblsOverMax val="1"/>
  </c:chart>
  <c:spPr>
    <a:solidFill>
      <a:srgbClr val="FFFFFF">
        <a:alpha val="0"/>
      </a:srgbClr>
    </a:solidFill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roundedCorners val="1"/>
  <c:chart>
    <c:title>
      <c:tx>
        <c:rich>
          <a:bodyPr/>
          <a:lstStyle/>
          <a:p>
            <a:pPr lvl="0">
              <a:defRPr b="0"/>
            </a:pPr>
            <a:r>
              <a:t>Середня оцінка респондентами залежно від місця проживання</a:t>
            </a:r>
          </a:p>
        </c:rich>
      </c:tx>
    </c:title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3366CC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uk-UA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Block1!$A$72:$A$73</c:f>
              <c:strCache>
                <c:ptCount val="2"/>
                <c:pt idx="0">
                  <c:v>Середня оцінка місцевими респондентами</c:v>
                </c:pt>
                <c:pt idx="1">
                  <c:v>Середня оцінка респондентами, що проживають у іншому населеному пункті</c:v>
                </c:pt>
              </c:strCache>
            </c:strRef>
          </c:cat>
          <c:val>
            <c:numRef>
              <c:f>Block1!$F$72:$F$73</c:f>
              <c:numCache>
                <c:formatCode>0.00</c:formatCode>
                <c:ptCount val="2"/>
                <c:pt idx="0">
                  <c:v>4.6470588235294121</c:v>
                </c:pt>
                <c:pt idx="1">
                  <c:v>4.5999999999999996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5A-4914-9990-3C9AEAA0F942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/>
        <c:axId val="97615872"/>
        <c:axId val="97617408"/>
      </c:barChart>
      <c:catAx>
        <c:axId val="97615872"/>
        <c:scaling>
          <c:orientation val="minMax"/>
        </c:scaling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/>
            </a:pPr>
            <a:endParaRPr lang="uk-UA"/>
          </a:p>
        </c:txPr>
        <c:crossAx val="97617408"/>
        <c:crosses val="autoZero"/>
        <c:auto val="1"/>
        <c:lblAlgn val="ctr"/>
        <c:lblOffset val="100"/>
        <c:noMultiLvlLbl val="1"/>
      </c:catAx>
      <c:valAx>
        <c:axId val="97617408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0.0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uk-UA"/>
          </a:p>
        </c:txPr>
        <c:crossAx val="97615872"/>
        <c:crosses val="autoZero"/>
        <c:crossBetween val="between"/>
      </c:valAx>
    </c:plotArea>
    <c:legend>
      <c:legendPos val="r"/>
    </c:legend>
    <c:plotVisOnly val="1"/>
    <c:dispBlanksAs val="zero"/>
    <c:showDLblsOverMax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roundedCorners val="1"/>
  <c:chart>
    <c:title>
      <c:tx>
        <c:rich>
          <a:bodyPr/>
          <a:lstStyle/>
          <a:p>
            <a:pPr lvl="0">
              <a:defRPr b="0"/>
            </a:pPr>
            <a:r>
              <a:t>Середня оцінка респондентами залежно від рівня доходів</a:t>
            </a:r>
          </a:p>
        </c:rich>
      </c:tx>
    </c:title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3366CC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uk-UA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srv!$A$1:$A$6</c:f>
              <c:strCache>
                <c:ptCount val="6"/>
                <c:pt idx="0">
                  <c:v>Респонденти, що вважають себе незаможними</c:v>
                </c:pt>
                <c:pt idx="1">
                  <c:v>Респонденти, що вважають своє матеріальне становище нижчим середнього</c:v>
                </c:pt>
                <c:pt idx="2">
                  <c:v>Респонденти, що вважають своє матеріальне становище середнім</c:v>
                </c:pt>
                <c:pt idx="3">
                  <c:v>Респонденти, що вважають своє матеріальне становище вищим середнього</c:v>
                </c:pt>
                <c:pt idx="4">
                  <c:v>Респонденти, що вважають себе заможними</c:v>
                </c:pt>
                <c:pt idx="5">
                  <c:v>Респонденти, які не вказали матеріальне становище своєї родини</c:v>
                </c:pt>
              </c:strCache>
            </c:strRef>
          </c:cat>
          <c:val>
            <c:numRef>
              <c:f>srv!$B$1:$B$6</c:f>
              <c:numCache>
                <c:formatCode>General</c:formatCode>
                <c:ptCount val="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E6-4822-BD42-C700F6D4E965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1"/>
          <c:order val="1"/>
          <c:spPr>
            <a:solidFill>
              <a:srgbClr val="DC3912"/>
            </a:solidFill>
          </c:spPr>
          <c:invertIfNegative val="1"/>
          <c:cat>
            <c:strRef>
              <c:f>srv!$A$1:$A$6</c:f>
              <c:strCache>
                <c:ptCount val="6"/>
                <c:pt idx="0">
                  <c:v>Респонденти, що вважають себе незаможними</c:v>
                </c:pt>
                <c:pt idx="1">
                  <c:v>Респонденти, що вважають своє матеріальне становище нижчим середнього</c:v>
                </c:pt>
                <c:pt idx="2">
                  <c:v>Респонденти, що вважають своє матеріальне становище середнім</c:v>
                </c:pt>
                <c:pt idx="3">
                  <c:v>Респонденти, що вважають своє матеріальне становище вищим середнього</c:v>
                </c:pt>
                <c:pt idx="4">
                  <c:v>Респонденти, що вважають себе заможними</c:v>
                </c:pt>
                <c:pt idx="5">
                  <c:v>Респонденти, які не вказали матеріальне становище своєї родини</c:v>
                </c:pt>
              </c:strCache>
            </c:strRef>
          </c:cat>
          <c:val>
            <c:numRef>
              <c:f>srv!$C$1:$C$6</c:f>
              <c:numCache>
                <c:formatCode>General</c:formatCode>
                <c:ptCount val="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E6-4822-BD42-C700F6D4E965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2"/>
          <c:order val="2"/>
          <c:spPr>
            <a:solidFill>
              <a:srgbClr val="FF9900"/>
            </a:solidFill>
          </c:spPr>
          <c:invertIfNegative val="1"/>
          <c:cat>
            <c:strRef>
              <c:f>srv!$A$1:$A$6</c:f>
              <c:strCache>
                <c:ptCount val="6"/>
                <c:pt idx="0">
                  <c:v>Респонденти, що вважають себе незаможними</c:v>
                </c:pt>
                <c:pt idx="1">
                  <c:v>Респонденти, що вважають своє матеріальне становище нижчим середнього</c:v>
                </c:pt>
                <c:pt idx="2">
                  <c:v>Респонденти, що вважають своє матеріальне становище середнім</c:v>
                </c:pt>
                <c:pt idx="3">
                  <c:v>Респонденти, що вважають своє матеріальне становище вищим середнього</c:v>
                </c:pt>
                <c:pt idx="4">
                  <c:v>Респонденти, що вважають себе заможними</c:v>
                </c:pt>
                <c:pt idx="5">
                  <c:v>Респонденти, які не вказали матеріальне становище своєї родини</c:v>
                </c:pt>
              </c:strCache>
            </c:strRef>
          </c:cat>
          <c:val>
            <c:numRef>
              <c:f>srv!$D$1:$D$6</c:f>
              <c:numCache>
                <c:formatCode>General</c:formatCode>
                <c:ptCount val="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BE6-4822-BD42-C700F6D4E965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3"/>
          <c:order val="3"/>
          <c:spPr>
            <a:solidFill>
              <a:srgbClr val="109618"/>
            </a:solidFill>
          </c:spPr>
          <c:invertIfNegative val="1"/>
          <c:cat>
            <c:strRef>
              <c:f>srv!$A$1:$A$6</c:f>
              <c:strCache>
                <c:ptCount val="6"/>
                <c:pt idx="0">
                  <c:v>Респонденти, що вважають себе незаможними</c:v>
                </c:pt>
                <c:pt idx="1">
                  <c:v>Респонденти, що вважають своє матеріальне становище нижчим середнього</c:v>
                </c:pt>
                <c:pt idx="2">
                  <c:v>Респонденти, що вважають своє матеріальне становище середнім</c:v>
                </c:pt>
                <c:pt idx="3">
                  <c:v>Респонденти, що вважають своє матеріальне становище вищим середнього</c:v>
                </c:pt>
                <c:pt idx="4">
                  <c:v>Респонденти, що вважають себе заможними</c:v>
                </c:pt>
                <c:pt idx="5">
                  <c:v>Респонденти, які не вказали матеріальне становище своєї родини</c:v>
                </c:pt>
              </c:strCache>
            </c:strRef>
          </c:cat>
          <c:val>
            <c:numRef>
              <c:f>srv!$E$1:$E$6</c:f>
              <c:numCache>
                <c:formatCode>General</c:formatCode>
                <c:ptCount val="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BE6-4822-BD42-C700F6D4E965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4"/>
          <c:order val="4"/>
          <c:spPr>
            <a:solidFill>
              <a:srgbClr val="990099"/>
            </a:solidFill>
          </c:spPr>
          <c:invertIfNegative val="1"/>
          <c:cat>
            <c:strRef>
              <c:f>srv!$A$1:$A$6</c:f>
              <c:strCache>
                <c:ptCount val="6"/>
                <c:pt idx="0">
                  <c:v>Респонденти, що вважають себе незаможними</c:v>
                </c:pt>
                <c:pt idx="1">
                  <c:v>Респонденти, що вважають своє матеріальне становище нижчим середнього</c:v>
                </c:pt>
                <c:pt idx="2">
                  <c:v>Респонденти, що вважають своє матеріальне становище середнім</c:v>
                </c:pt>
                <c:pt idx="3">
                  <c:v>Респонденти, що вважають своє матеріальне становище вищим середнього</c:v>
                </c:pt>
                <c:pt idx="4">
                  <c:v>Респонденти, що вважають себе заможними</c:v>
                </c:pt>
                <c:pt idx="5">
                  <c:v>Респонденти, які не вказали матеріальне становище своєї родини</c:v>
                </c:pt>
              </c:strCache>
            </c:strRef>
          </c:cat>
          <c:val>
            <c:numRef>
              <c:f>srv!$F$1:$F$6</c:f>
              <c:numCache>
                <c:formatCode>0.00</c:formatCode>
                <c:ptCount val="6"/>
                <c:pt idx="0">
                  <c:v>4.2</c:v>
                </c:pt>
                <c:pt idx="1">
                  <c:v>4.5999999999999996</c:v>
                </c:pt>
                <c:pt idx="2">
                  <c:v>4.7</c:v>
                </c:pt>
                <c:pt idx="3">
                  <c:v>5</c:v>
                </c:pt>
                <c:pt idx="4">
                  <c:v>0</c:v>
                </c:pt>
                <c:pt idx="5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BE6-4822-BD42-C700F6D4E965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/>
        <c:axId val="149741952"/>
        <c:axId val="149743488"/>
      </c:barChart>
      <c:catAx>
        <c:axId val="149741952"/>
        <c:scaling>
          <c:orientation val="minMax"/>
        </c:scaling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sz="1000" b="0"/>
            </a:pPr>
            <a:endParaRPr lang="uk-UA"/>
          </a:p>
        </c:txPr>
        <c:crossAx val="149743488"/>
        <c:crosses val="autoZero"/>
        <c:auto val="1"/>
        <c:lblAlgn val="ctr"/>
        <c:lblOffset val="100"/>
        <c:noMultiLvlLbl val="1"/>
      </c:catAx>
      <c:valAx>
        <c:axId val="149743488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uk-UA"/>
          </a:p>
        </c:txPr>
        <c:crossAx val="149741952"/>
        <c:crosses val="autoZero"/>
        <c:crossBetween val="between"/>
      </c:valAx>
    </c:plotArea>
    <c:legend>
      <c:legendPos val="r"/>
      <c:txPr>
        <a:bodyPr/>
        <a:lstStyle/>
        <a:p>
          <a:pPr lvl="0">
            <a:defRPr sz="3000"/>
          </a:pPr>
          <a:endParaRPr lang="uk-UA"/>
        </a:p>
      </c:txPr>
    </c:legend>
    <c:plotVisOnly val="1"/>
    <c:dispBlanksAs val="zero"/>
    <c:showDLblsOverMax val="1"/>
  </c:chart>
  <c:spPr>
    <a:solidFill>
      <a:srgbClr val="FFFFFF">
        <a:alpha val="0"/>
      </a:srgbClr>
    </a:solidFill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roundedCorners val="1"/>
  <c:chart>
    <c:title>
      <c:tx>
        <c:rich>
          <a:bodyPr/>
          <a:lstStyle/>
          <a:p>
            <a:pPr lvl="0">
              <a:defRPr b="0"/>
            </a:pPr>
            <a:r>
              <a:t>Середня оцінка респондентами залежно від ролі в суді</a:t>
            </a:r>
          </a:p>
        </c:rich>
      </c:tx>
    </c:title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3366CC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uk-UA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srv!$A$7:$A$10</c:f>
              <c:strCache>
                <c:ptCount val="4"/>
                <c:pt idx="0">
                  <c:v>Респонденти, які представляють особисто себе</c:v>
                </c:pt>
                <c:pt idx="1">
                  <c:v>Респонденти, які представляють іншу особу</c:v>
                </c:pt>
                <c:pt idx="2">
                  <c:v>Респонденти, які не є учасниками судових проваджень</c:v>
                </c:pt>
                <c:pt idx="3">
                  <c:v>Інші респонденти</c:v>
                </c:pt>
              </c:strCache>
            </c:strRef>
          </c:cat>
          <c:val>
            <c:numRef>
              <c:f>srv!$F$7:$F$10</c:f>
              <c:numCache>
                <c:formatCode>0.00</c:formatCode>
                <c:ptCount val="4"/>
                <c:pt idx="0">
                  <c:v>4.375</c:v>
                </c:pt>
                <c:pt idx="1">
                  <c:v>5</c:v>
                </c:pt>
                <c:pt idx="2">
                  <c:v>4.4444444444444446</c:v>
                </c:pt>
                <c:pt idx="3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A6-462A-AF4D-983E9F8FED4B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/>
        <c:axId val="149678336"/>
        <c:axId val="149749760"/>
      </c:barChart>
      <c:catAx>
        <c:axId val="149678336"/>
        <c:scaling>
          <c:orientation val="minMax"/>
        </c:scaling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/>
            </a:pPr>
            <a:endParaRPr lang="uk-UA"/>
          </a:p>
        </c:txPr>
        <c:crossAx val="149749760"/>
        <c:crosses val="autoZero"/>
        <c:auto val="1"/>
        <c:lblAlgn val="ctr"/>
        <c:lblOffset val="100"/>
        <c:noMultiLvlLbl val="1"/>
      </c:catAx>
      <c:valAx>
        <c:axId val="149749760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0.0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uk-UA"/>
          </a:p>
        </c:txPr>
        <c:crossAx val="149678336"/>
        <c:crosses val="autoZero"/>
        <c:crossBetween val="between"/>
      </c:valAx>
    </c:plotArea>
    <c:legend>
      <c:legendPos val="r"/>
      <c:txPr>
        <a:bodyPr/>
        <a:lstStyle/>
        <a:p>
          <a:pPr lvl="0">
            <a:defRPr sz="3000"/>
          </a:pPr>
          <a:endParaRPr lang="uk-UA"/>
        </a:p>
      </c:txPr>
    </c:legend>
    <c:plotVisOnly val="1"/>
    <c:dispBlanksAs val="zero"/>
    <c:showDLblsOverMax val="1"/>
  </c:chart>
  <c:spPr>
    <a:solidFill>
      <a:srgbClr val="FFFFFF">
        <a:alpha val="0"/>
      </a:srgbClr>
    </a:solidFill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roundedCorners val="1"/>
  <c:chart>
    <c:title>
      <c:tx>
        <c:rich>
          <a:bodyPr/>
          <a:lstStyle/>
          <a:p>
            <a:pPr lvl="0">
              <a:defRPr b="0"/>
            </a:pPr>
            <a:r>
              <a:t>Середня оцінка респондентами залежно від процесу</a:t>
            </a:r>
          </a:p>
        </c:rich>
      </c:tx>
    </c:title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3366CC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uk-UA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srv!$A$11:$A$15</c:f>
              <c:strCache>
                <c:ptCount val="5"/>
                <c:pt idx="0">
                  <c:v>Респонденти, що беруть участь у цивільних справах</c:v>
                </c:pt>
                <c:pt idx="1">
                  <c:v>Респонденти, що беруть участь у кримінальних справах</c:v>
                </c:pt>
                <c:pt idx="2">
                  <c:v>Респонденти, що беруть участь у адміністративних справах</c:v>
                </c:pt>
                <c:pt idx="3">
                  <c:v>Респонденти, що беруть участь у господарських справах</c:v>
                </c:pt>
                <c:pt idx="4">
                  <c:v>Респонденти, що беруть участь у справах про адміністративні правопорушення</c:v>
                </c:pt>
              </c:strCache>
            </c:strRef>
          </c:cat>
          <c:val>
            <c:numRef>
              <c:f>srv!$F$11:$F$15</c:f>
              <c:numCache>
                <c:formatCode>0.00</c:formatCode>
                <c:ptCount val="5"/>
                <c:pt idx="0">
                  <c:v>4.7857142857142856</c:v>
                </c:pt>
                <c:pt idx="1">
                  <c:v>4.833333333333333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34-4F63-A434-2DA973D2D5A7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/>
        <c:axId val="149770624"/>
        <c:axId val="149772160"/>
      </c:barChart>
      <c:catAx>
        <c:axId val="149770624"/>
        <c:scaling>
          <c:orientation val="minMax"/>
        </c:scaling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sz="1000" b="0"/>
            </a:pPr>
            <a:endParaRPr lang="uk-UA"/>
          </a:p>
        </c:txPr>
        <c:crossAx val="149772160"/>
        <c:crosses val="autoZero"/>
        <c:auto val="1"/>
        <c:lblAlgn val="ctr"/>
        <c:lblOffset val="100"/>
        <c:noMultiLvlLbl val="1"/>
      </c:catAx>
      <c:valAx>
        <c:axId val="149772160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0.0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uk-UA"/>
          </a:p>
        </c:txPr>
        <c:crossAx val="149770624"/>
        <c:crosses val="autoZero"/>
        <c:crossBetween val="between"/>
      </c:valAx>
    </c:plotArea>
    <c:legend>
      <c:legendPos val="r"/>
      <c:txPr>
        <a:bodyPr/>
        <a:lstStyle/>
        <a:p>
          <a:pPr lvl="0">
            <a:defRPr sz="3000"/>
          </a:pPr>
          <a:endParaRPr lang="uk-UA"/>
        </a:p>
      </c:txPr>
    </c:legend>
    <c:plotVisOnly val="1"/>
    <c:dispBlanksAs val="zero"/>
    <c:showDLblsOverMax val="1"/>
  </c:chart>
  <c:spPr>
    <a:solidFill>
      <a:srgbClr val="FFFFFF">
        <a:alpha val="0"/>
      </a:srgbClr>
    </a:solidFill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roundedCorners val="1"/>
  <c:chart>
    <c:title>
      <c:tx>
        <c:rich>
          <a:bodyPr/>
          <a:lstStyle/>
          <a:p>
            <a:pPr lvl="0">
              <a:defRPr b="0"/>
            </a:pPr>
            <a:r>
              <a:t>Доступність суду</a:t>
            </a:r>
          </a:p>
        </c:rich>
      </c:tx>
    </c:title>
    <c:plotArea>
      <c:layout>
        <c:manualLayout>
          <c:xMode val="edge"/>
          <c:yMode val="edge"/>
          <c:x val="8.2194443384806359E-2"/>
          <c:y val="0.10813492063492065"/>
          <c:w val="0.8831805566151939"/>
          <c:h val="0.61111111111111127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3C47D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uk-UA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srv!$A$19:$A$27</c:f>
              <c:strCache>
                <c:ptCount val="9"/>
                <c:pt idx="0">
                  <c:v>Чи легко Вам було знайти будівлю суду?</c:v>
                </c:pt>
                <c:pt idx="1">
                  <c:v>Чи зручно Вам діставатися до будівлі суду громадським транспортом?</c:v>
                </c:pt>
                <c:pt idx="2">
                  <c:v>Чи зручно паркувати автомобіль (достатньо паркувальних місць) біля будівлі суду?</c:v>
                </c:pt>
                <c:pt idx="3">
                  <c:v>Чи зазнавали Ви перешкод у доступі до приміщень суду через охорону?</c:v>
                </c:pt>
                <c:pt idx="4">
                  <c:v>Чи можуть люди з обмеженими можливостями безперешкодно потрапити до приміщення суду і користуватися послугами суду?</c:v>
                </c:pt>
                <c:pt idx="5">
                  <c:v>Якщо Вам доводилося телефонувати до суду, чи завжди вдавалось додзвонитися?</c:v>
                </c:pt>
                <c:pt idx="6">
                  <c:v>Якщо Вам доводилося телефонувати до суду, чи завжди вдавалось отримати потрібну інформацію?</c:v>
                </c:pt>
                <c:pt idx="7">
                  <c:v>Чи давав графік роботи канцелярії суду можливість вчасно та безперешкодно вирішувати Ваші справи у суді</c:v>
                </c:pt>
                <c:pt idx="8">
                  <c:v>Чи могли б Ви собі дозволити витрати на послуги адвоката у разі необхідності?</c:v>
                </c:pt>
              </c:strCache>
            </c:strRef>
          </c:cat>
          <c:val>
            <c:numRef>
              <c:f>srv!$B$19:$B$27</c:f>
              <c:numCache>
                <c:formatCode>0.00</c:formatCode>
                <c:ptCount val="9"/>
                <c:pt idx="0">
                  <c:v>4.8275862068965516</c:v>
                </c:pt>
                <c:pt idx="1">
                  <c:v>4.6956521739130439</c:v>
                </c:pt>
                <c:pt idx="2">
                  <c:v>4.3809523809523814</c:v>
                </c:pt>
                <c:pt idx="3">
                  <c:v>4.8666666666666663</c:v>
                </c:pt>
                <c:pt idx="4">
                  <c:v>3.8</c:v>
                </c:pt>
                <c:pt idx="5">
                  <c:v>4.7037037037037033</c:v>
                </c:pt>
                <c:pt idx="6">
                  <c:v>4.6296296296296298</c:v>
                </c:pt>
                <c:pt idx="7">
                  <c:v>4.5555555555555554</c:v>
                </c:pt>
                <c:pt idx="8">
                  <c:v>2.5882352941176472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FC-4F04-866F-A00664584A5F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/>
        <c:axId val="149854848"/>
        <c:axId val="149864832"/>
      </c:barChart>
      <c:catAx>
        <c:axId val="149854848"/>
        <c:scaling>
          <c:orientation val="minMax"/>
        </c:scaling>
        <c:axPos val="b"/>
        <c:numFmt formatCode="General" sourceLinked="1"/>
        <c:majorTickMark val="cross"/>
        <c:minorTickMark val="cross"/>
        <c:tickLblPos val="nextTo"/>
        <c:txPr>
          <a:bodyPr rot="0"/>
          <a:lstStyle/>
          <a:p>
            <a:pPr lvl="0">
              <a:defRPr b="0"/>
            </a:pPr>
            <a:endParaRPr lang="uk-UA"/>
          </a:p>
        </c:txPr>
        <c:crossAx val="149864832"/>
        <c:crosses val="autoZero"/>
        <c:auto val="1"/>
        <c:lblAlgn val="ctr"/>
        <c:lblOffset val="100"/>
        <c:noMultiLvlLbl val="1"/>
      </c:catAx>
      <c:valAx>
        <c:axId val="149864832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0.0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uk-UA"/>
          </a:p>
        </c:txPr>
        <c:crossAx val="149854848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roundedCorners val="1"/>
  <c:chart>
    <c:title>
      <c:tx>
        <c:rich>
          <a:bodyPr/>
          <a:lstStyle/>
          <a:p>
            <a:pPr lvl="0">
              <a:defRPr b="0"/>
            </a:pPr>
            <a:r>
              <a:t>Зручність та комфортність перебування у суді</a:t>
            </a:r>
          </a:p>
        </c:rich>
      </c:tx>
    </c:title>
    <c:plotArea>
      <c:layout>
        <c:manualLayout>
          <c:xMode val="edge"/>
          <c:yMode val="edge"/>
          <c:x val="8.2194443384806359E-2"/>
          <c:y val="0.10813492063492065"/>
          <c:w val="0.8831805566151939"/>
          <c:h val="0.61111111111111127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3C47D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uk-UA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srv!$A$29:$A$32</c:f>
              <c:strCache>
                <c:ptCount val="4"/>
                <c:pt idx="0">
                  <c:v>достатність місць для очікування, оформлення документів, підготовки до засідання</c:v>
                </c:pt>
                <c:pt idx="1">
                  <c:v>вільний доступ до побутових приміщень (туалетів)</c:v>
                </c:pt>
                <c:pt idx="2">
                  <c:v>чистота та прибраність приміщень</c:v>
                </c:pt>
                <c:pt idx="3">
                  <c:v>достатність освітлення</c:v>
                </c:pt>
              </c:strCache>
            </c:strRef>
          </c:cat>
          <c:val>
            <c:numRef>
              <c:f>srv!$B$29:$B$32</c:f>
              <c:numCache>
                <c:formatCode>0.00</c:formatCode>
                <c:ptCount val="4"/>
                <c:pt idx="0">
                  <c:v>4.3</c:v>
                </c:pt>
                <c:pt idx="1">
                  <c:v>4.4666666666666668</c:v>
                </c:pt>
                <c:pt idx="2">
                  <c:v>4.333333333333333</c:v>
                </c:pt>
                <c:pt idx="3">
                  <c:v>4.5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0F-462D-9861-F9FCF668D0CD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/>
        <c:axId val="150024576"/>
        <c:axId val="150026112"/>
      </c:barChart>
      <c:catAx>
        <c:axId val="150024576"/>
        <c:scaling>
          <c:orientation val="minMax"/>
        </c:scaling>
        <c:axPos val="b"/>
        <c:numFmt formatCode="General" sourceLinked="1"/>
        <c:majorTickMark val="cross"/>
        <c:minorTickMark val="cross"/>
        <c:tickLblPos val="nextTo"/>
        <c:txPr>
          <a:bodyPr rot="0"/>
          <a:lstStyle/>
          <a:p>
            <a:pPr lvl="0">
              <a:defRPr b="0"/>
            </a:pPr>
            <a:endParaRPr lang="uk-UA"/>
          </a:p>
        </c:txPr>
        <c:crossAx val="150026112"/>
        <c:crosses val="autoZero"/>
        <c:auto val="1"/>
        <c:lblAlgn val="ctr"/>
        <c:lblOffset val="100"/>
        <c:noMultiLvlLbl val="1"/>
      </c:catAx>
      <c:valAx>
        <c:axId val="150026112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0.0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uk-UA"/>
          </a:p>
        </c:txPr>
        <c:crossAx val="150024576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roundedCorners val="1"/>
  <c:chart>
    <c:title>
      <c:tx>
        <c:rich>
          <a:bodyPr/>
          <a:lstStyle/>
          <a:p>
            <a:pPr lvl="0">
              <a:defRPr b="0"/>
            </a:pPr>
            <a:r>
              <a:t>Повнота та ясність інформації</a:t>
            </a:r>
          </a:p>
        </c:rich>
      </c:tx>
    </c:title>
    <c:plotArea>
      <c:layout>
        <c:manualLayout>
          <c:xMode val="edge"/>
          <c:yMode val="edge"/>
          <c:x val="8.2194443384806359E-2"/>
          <c:y val="0.10813492063492065"/>
          <c:w val="0.8831805566151939"/>
          <c:h val="0.61111111111111127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3C47D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uk-UA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srv!$A$34:$A$40</c:f>
              <c:strCache>
                <c:ptCount val="7"/>
                <c:pt idx="0">
                  <c:v>Чи зручно у суді розташовані інформаційні стенди (дошки об’яв)?</c:v>
                </c:pt>
                <c:pt idx="1">
                  <c:v>Чи задовольняє Вас інформація щодо розташування кабінетів, залів судових засідань, інших приміщень</c:v>
                </c:pt>
                <c:pt idx="2">
                  <c:v>Чи задовольняє Вас інформація щодо правил допуску в суд та перебування в ньому</c:v>
                </c:pt>
                <c:pt idx="3">
                  <c:v>Чи задовольняє Вас інформація щодо справ, що призначені до розгляду</c:v>
                </c:pt>
                <c:pt idx="4">
                  <c:v>Чи задовольняє Вас інформація щодо зразків документів (заяв, клопотань тощо)</c:v>
                </c:pt>
                <c:pt idx="5">
                  <c:v>Чи задовольняє Вас інформація щодо порядку сплати судових зборів та мита, реквізити та розміри платежів</c:v>
                </c:pt>
                <c:pt idx="6">
                  <c:v>Чи знайшли Ви на сторінці суду потрібну для Вас інформацію?</c:v>
                </c:pt>
              </c:strCache>
            </c:strRef>
          </c:cat>
          <c:val>
            <c:numRef>
              <c:f>srv!$B$34:$B$40</c:f>
              <c:numCache>
                <c:formatCode>0.00</c:formatCode>
                <c:ptCount val="7"/>
                <c:pt idx="0">
                  <c:v>4.5172413793103452</c:v>
                </c:pt>
                <c:pt idx="1">
                  <c:v>4.5</c:v>
                </c:pt>
                <c:pt idx="2">
                  <c:v>4.7666666666666666</c:v>
                </c:pt>
                <c:pt idx="3">
                  <c:v>4.6551724137931032</c:v>
                </c:pt>
                <c:pt idx="4">
                  <c:v>4.5666666666666664</c:v>
                </c:pt>
                <c:pt idx="5">
                  <c:v>4.4137931034482758</c:v>
                </c:pt>
                <c:pt idx="6">
                  <c:v>4.4117647058823533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D9-4616-B87C-18E824DE0BE4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/>
        <c:axId val="150046592"/>
        <c:axId val="150048128"/>
      </c:barChart>
      <c:catAx>
        <c:axId val="150046592"/>
        <c:scaling>
          <c:orientation val="minMax"/>
        </c:scaling>
        <c:axPos val="b"/>
        <c:numFmt formatCode="General" sourceLinked="1"/>
        <c:majorTickMark val="cross"/>
        <c:minorTickMark val="cross"/>
        <c:tickLblPos val="nextTo"/>
        <c:txPr>
          <a:bodyPr rot="0"/>
          <a:lstStyle/>
          <a:p>
            <a:pPr lvl="0">
              <a:defRPr b="0"/>
            </a:pPr>
            <a:endParaRPr lang="uk-UA"/>
          </a:p>
        </c:txPr>
        <c:crossAx val="150048128"/>
        <c:crosses val="autoZero"/>
        <c:auto val="1"/>
        <c:lblAlgn val="ctr"/>
        <c:lblOffset val="100"/>
        <c:noMultiLvlLbl val="1"/>
      </c:catAx>
      <c:valAx>
        <c:axId val="150048128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0.0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uk-UA"/>
          </a:p>
        </c:txPr>
        <c:crossAx val="150046592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roundedCorners val="1"/>
  <c:chart>
    <c:title>
      <c:tx>
        <c:rich>
          <a:bodyPr/>
          <a:lstStyle/>
          <a:p>
            <a:pPr lvl="0">
              <a:defRPr b="0"/>
            </a:pPr>
            <a:r>
              <a:t>Сприйняття роботи працівників апарату суду</a:t>
            </a:r>
          </a:p>
        </c:rich>
      </c:tx>
    </c:title>
    <c:plotArea>
      <c:layout>
        <c:manualLayout>
          <c:xMode val="edge"/>
          <c:yMode val="edge"/>
          <c:x val="8.2194443384806359E-2"/>
          <c:y val="0.10813492063492065"/>
          <c:w val="0.8831805566151939"/>
          <c:h val="0.61111111111111127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3C47D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uk-UA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srv!$A$43:$A$47</c:f>
              <c:strCache>
                <c:ptCount val="5"/>
                <c:pt idx="0">
                  <c:v>Чи старанно працювали працівники суду?</c:v>
                </c:pt>
                <c:pt idx="1">
                  <c:v>Чи не припускалися працівники апарату суду помилок, які призводили б до перероблення документів та (або) порушення строків розгляду справ?</c:v>
                </c:pt>
                <c:pt idx="2">
                  <c:v>Чи виявили працівники апарату суду при спілкуванні з Вами доброзичливість, повагу, бажання допомогти</c:v>
                </c:pt>
                <c:pt idx="3">
                  <c:v>Чи виявили працівники апарату суду при спілкуванні з Вами однакове ставлення до всіх, незалежно від соціального статусу</c:v>
                </c:pt>
                <c:pt idx="4">
                  <c:v>Чи виявили працівники апарату суду при спілкуванні з Вами професіоналізм, знання своєї справи</c:v>
                </c:pt>
              </c:strCache>
            </c:strRef>
          </c:cat>
          <c:val>
            <c:numRef>
              <c:f>srv!$B$43:$B$47</c:f>
              <c:numCache>
                <c:formatCode>0.00</c:formatCode>
                <c:ptCount val="5"/>
                <c:pt idx="0">
                  <c:v>4.75</c:v>
                </c:pt>
                <c:pt idx="1">
                  <c:v>4.1363636363636367</c:v>
                </c:pt>
                <c:pt idx="2">
                  <c:v>4.72</c:v>
                </c:pt>
                <c:pt idx="3">
                  <c:v>4.5999999999999996</c:v>
                </c:pt>
                <c:pt idx="4">
                  <c:v>4.68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B4-4343-B8E6-209D1CF431E0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/>
        <c:axId val="149970304"/>
        <c:axId val="149984384"/>
      </c:barChart>
      <c:catAx>
        <c:axId val="149970304"/>
        <c:scaling>
          <c:orientation val="minMax"/>
        </c:scaling>
        <c:axPos val="b"/>
        <c:numFmt formatCode="General" sourceLinked="1"/>
        <c:majorTickMark val="cross"/>
        <c:minorTickMark val="cross"/>
        <c:tickLblPos val="nextTo"/>
        <c:txPr>
          <a:bodyPr rot="0"/>
          <a:lstStyle/>
          <a:p>
            <a:pPr lvl="0">
              <a:defRPr b="0"/>
            </a:pPr>
            <a:endParaRPr lang="uk-UA"/>
          </a:p>
        </c:txPr>
        <c:crossAx val="149984384"/>
        <c:crosses val="autoZero"/>
        <c:auto val="1"/>
        <c:lblAlgn val="ctr"/>
        <c:lblOffset val="100"/>
        <c:noMultiLvlLbl val="1"/>
      </c:catAx>
      <c:valAx>
        <c:axId val="149984384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0.0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uk-UA"/>
          </a:p>
        </c:txPr>
        <c:crossAx val="149970304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roundedCorners val="1"/>
  <c:chart>
    <c:title>
      <c:tx>
        <c:rich>
          <a:bodyPr/>
          <a:lstStyle/>
          <a:p>
            <a:pPr lvl="0">
              <a:defRPr b="0"/>
            </a:pPr>
            <a:r>
              <a:t>Дотримання строків судового розгляду</a:t>
            </a:r>
          </a:p>
        </c:rich>
      </c:tx>
    </c:title>
    <c:plotArea>
      <c:layout>
        <c:manualLayout>
          <c:xMode val="edge"/>
          <c:yMode val="edge"/>
          <c:x val="8.2194443384806359E-2"/>
          <c:y val="0.10813492063492065"/>
          <c:w val="0.8831805566151939"/>
          <c:h val="0.71626984126984139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3C47D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uk-UA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Block2!$A$63:$A$66</c:f>
              <c:strCache>
                <c:ptCount val="4"/>
                <c:pt idx="0">
                  <c:v>Чи вчасно (відповідно до графіка) розпочалося останнє засідання по Вашій справі?</c:v>
                </c:pt>
                <c:pt idx="1">
                  <c:v>Чи було враховано Ваші побажання при призначенні дня та часу засідання?</c:v>
                </c:pt>
                <c:pt idx="2">
                  <c:v>Чи вчасно Ви отримували повістки та повідомлення про розгляд справи?</c:v>
                </c:pt>
                <c:pt idx="3">
                  <c:v>Чи вважаєте Ви обґрунтованими затримки/ перенесення слухань у розгляді Вашої справи?</c:v>
                </c:pt>
              </c:strCache>
            </c:strRef>
          </c:cat>
          <c:val>
            <c:numRef>
              <c:f>Block2!$H$63:$H$66</c:f>
              <c:numCache>
                <c:formatCode>0.00</c:formatCode>
                <c:ptCount val="4"/>
                <c:pt idx="0">
                  <c:v>3.9090909090909092</c:v>
                </c:pt>
                <c:pt idx="1">
                  <c:v>4.4761904761904763</c:v>
                </c:pt>
                <c:pt idx="2">
                  <c:v>4.666666666666667</c:v>
                </c:pt>
                <c:pt idx="3">
                  <c:v>4.6842105263157894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EE-4C5E-B98A-7A7EA5F6B344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/>
        <c:axId val="150004864"/>
        <c:axId val="150006400"/>
      </c:barChart>
      <c:catAx>
        <c:axId val="150004864"/>
        <c:scaling>
          <c:orientation val="minMax"/>
        </c:scaling>
        <c:axPos val="b"/>
        <c:numFmt formatCode="General" sourceLinked="1"/>
        <c:majorTickMark val="cross"/>
        <c:minorTickMark val="cross"/>
        <c:tickLblPos val="nextTo"/>
        <c:txPr>
          <a:bodyPr rot="0"/>
          <a:lstStyle/>
          <a:p>
            <a:pPr lvl="0">
              <a:defRPr b="0"/>
            </a:pPr>
            <a:endParaRPr lang="uk-UA"/>
          </a:p>
        </c:txPr>
        <c:crossAx val="150006400"/>
        <c:crosses val="autoZero"/>
        <c:auto val="1"/>
        <c:lblAlgn val="ctr"/>
        <c:lblOffset val="100"/>
        <c:noMultiLvlLbl val="1"/>
      </c:catAx>
      <c:valAx>
        <c:axId val="150006400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0.0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uk-UA"/>
          </a:p>
        </c:txPr>
        <c:crossAx val="150004864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roundedCorners val="1"/>
  <c:chart>
    <c:title>
      <c:tx>
        <c:rich>
          <a:bodyPr/>
          <a:lstStyle/>
          <a:p>
            <a:pPr lvl="0">
              <a:defRPr b="0"/>
            </a:pPr>
            <a:r>
              <a:t>Сприйняття роботи судді</a:t>
            </a:r>
          </a:p>
        </c:rich>
      </c:tx>
    </c:title>
    <c:plotArea>
      <c:layout>
        <c:manualLayout>
          <c:xMode val="edge"/>
          <c:yMode val="edge"/>
          <c:x val="8.2194443384806359E-2"/>
          <c:y val="0.10813492063492065"/>
          <c:w val="0.8831805566151939"/>
          <c:h val="0.71626984126984139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3C47D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uk-UA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Block2!$A$74:$A$78</c:f>
              <c:strCache>
                <c:ptCount val="5"/>
                <c:pt idx="0">
                  <c:v>– неупередженість та незалежність (суддя не піддався зовнішньому тиску, якщо такий був)</c:v>
                </c:pt>
                <c:pt idx="1">
                  <c:v>– коректність, доброзичливість, ввічливість</c:v>
                </c:pt>
                <c:pt idx="2">
                  <c:v>– належна підготовка до справи та знання справи</c:v>
                </c:pt>
                <c:pt idx="3">
                  <c:v>– надання можливостей сторонам обґрунтовувати свою позицію</c:v>
                </c:pt>
                <c:pt idx="4">
                  <c:v>– дотримання процедури розгляду</c:v>
                </c:pt>
              </c:strCache>
            </c:strRef>
          </c:cat>
          <c:val>
            <c:numRef>
              <c:f>Block2!$H$74:$H$78</c:f>
              <c:numCache>
                <c:formatCode>0.00</c:formatCode>
                <c:ptCount val="5"/>
                <c:pt idx="0">
                  <c:v>4.2380952380952381</c:v>
                </c:pt>
                <c:pt idx="1">
                  <c:v>4.5238095238095237</c:v>
                </c:pt>
                <c:pt idx="2">
                  <c:v>4.4761904761904763</c:v>
                </c:pt>
                <c:pt idx="3">
                  <c:v>4.5714285714285712</c:v>
                </c:pt>
                <c:pt idx="4">
                  <c:v>4.6190476190476186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38-4945-AFC0-84DE62D00B4B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/>
        <c:axId val="150112896"/>
        <c:axId val="150126976"/>
      </c:barChart>
      <c:catAx>
        <c:axId val="150112896"/>
        <c:scaling>
          <c:orientation val="minMax"/>
        </c:scaling>
        <c:axPos val="b"/>
        <c:numFmt formatCode="General" sourceLinked="1"/>
        <c:majorTickMark val="cross"/>
        <c:minorTickMark val="cross"/>
        <c:tickLblPos val="nextTo"/>
        <c:txPr>
          <a:bodyPr rot="0"/>
          <a:lstStyle/>
          <a:p>
            <a:pPr lvl="0">
              <a:defRPr b="0"/>
            </a:pPr>
            <a:endParaRPr lang="uk-UA"/>
          </a:p>
        </c:txPr>
        <c:crossAx val="150126976"/>
        <c:crosses val="autoZero"/>
        <c:auto val="1"/>
        <c:lblAlgn val="ctr"/>
        <c:lblOffset val="100"/>
        <c:noMultiLvlLbl val="1"/>
      </c:catAx>
      <c:valAx>
        <c:axId val="150126976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0.0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uk-UA"/>
          </a:p>
        </c:txPr>
        <c:crossAx val="150112896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roundedCorners val="1"/>
  <c:chart>
    <c:title>
      <c:tx>
        <c:rich>
          <a:bodyPr/>
          <a:lstStyle/>
          <a:p>
            <a:pPr lvl="0">
              <a:defRPr b="0"/>
            </a:pPr>
            <a:r>
              <a:t>Стать респондентів</a:t>
            </a:r>
          </a:p>
        </c:rich>
      </c:tx>
    </c:title>
    <c:view3D>
      <c:rotX val="50"/>
      <c:rAngAx val="1"/>
    </c:view3D>
    <c:plotArea>
      <c:layout/>
      <c:pie3DChart>
        <c:varyColors val="1"/>
        <c:ser>
          <c:idx val="0"/>
          <c:order val="0"/>
          <c:dPt>
            <c:idx val="0"/>
            <c:spPr>
              <a:solidFill>
                <a:srgbClr val="3366CC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55A-412B-B956-910CC1A77CDF}"/>
              </c:ext>
            </c:extLst>
          </c:dPt>
          <c:dPt>
            <c:idx val="1"/>
            <c:spPr>
              <a:solidFill>
                <a:srgbClr val="DC391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55A-412B-B956-910CC1A77CDF}"/>
              </c:ext>
            </c:extLst>
          </c:dPt>
          <c:cat>
            <c:strRef>
              <c:f>Block1!$E$6:$E$7</c:f>
              <c:strCache>
                <c:ptCount val="2"/>
                <c:pt idx="0">
                  <c:v>Чоловіча</c:v>
                </c:pt>
                <c:pt idx="1">
                  <c:v>Жіноча</c:v>
                </c:pt>
              </c:strCache>
            </c:strRef>
          </c:cat>
          <c:val>
            <c:numRef>
              <c:f>Block1!$F$6:$F$7</c:f>
              <c:numCache>
                <c:formatCode>General</c:formatCode>
                <c:ptCount val="2"/>
                <c:pt idx="0">
                  <c:v>15</c:v>
                </c:pt>
                <c:pt idx="1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55A-412B-B956-910CC1A77CDF}"/>
            </c:ext>
          </c:extLst>
        </c:ser>
        <c:dLbls/>
      </c:pie3DChart>
    </c:plotArea>
    <c:legend>
      <c:legendPos val="r"/>
    </c:legend>
    <c:plotVisOnly val="1"/>
    <c:dispBlanksAs val="zero"/>
    <c:showDLblsOverMax val="1"/>
  </c:chart>
  <c:spPr>
    <a:solidFill>
      <a:srgbClr val="FFFFFF">
        <a:alpha val="0"/>
      </a:srgbClr>
    </a:solidFill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roundedCorners val="1"/>
  <c:chart>
    <c:title>
      <c:tx>
        <c:rich>
          <a:bodyPr/>
          <a:lstStyle/>
          <a:p>
            <a:pPr lvl="0">
              <a:defRPr b="0"/>
            </a:pPr>
            <a:r>
              <a:t>Розподіл респондентів за рівнем освіти</a:t>
            </a:r>
          </a:p>
        </c:rich>
      </c:tx>
    </c:title>
    <c:view3D>
      <c:rotX val="50"/>
      <c:rAngAx val="1"/>
    </c:view3D>
    <c:plotArea>
      <c:layout/>
      <c:pie3DChart>
        <c:varyColors val="1"/>
        <c:ser>
          <c:idx val="0"/>
          <c:order val="0"/>
          <c:dPt>
            <c:idx val="0"/>
            <c:spPr>
              <a:solidFill>
                <a:srgbClr val="3366CC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02E-413C-BD66-D9D1253B9226}"/>
              </c:ext>
            </c:extLst>
          </c:dPt>
          <c:dPt>
            <c:idx val="1"/>
            <c:spPr>
              <a:solidFill>
                <a:srgbClr val="DC391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02E-413C-BD66-D9D1253B9226}"/>
              </c:ext>
            </c:extLst>
          </c:dPt>
          <c:dPt>
            <c:idx val="2"/>
            <c:spPr>
              <a:solidFill>
                <a:srgbClr val="FF99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02E-413C-BD66-D9D1253B9226}"/>
              </c:ext>
            </c:extLst>
          </c:dPt>
          <c:cat>
            <c:strRef>
              <c:f>Block1!$A$12:$A$14</c:f>
              <c:strCache>
                <c:ptCount val="3"/>
                <c:pt idx="0">
                  <c:v>Середня та неповна середня</c:v>
                </c:pt>
                <c:pt idx="1">
                  <c:v>Вища та неповна вища</c:v>
                </c:pt>
                <c:pt idx="2">
                  <c:v>Інше</c:v>
                </c:pt>
              </c:strCache>
            </c:strRef>
          </c:cat>
          <c:val>
            <c:numRef>
              <c:f>Block1!$B$12:$B$14</c:f>
              <c:numCache>
                <c:formatCode>General</c:formatCode>
                <c:ptCount val="3"/>
                <c:pt idx="0">
                  <c:v>8</c:v>
                </c:pt>
                <c:pt idx="1">
                  <c:v>21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02E-413C-BD66-D9D1253B9226}"/>
            </c:ext>
          </c:extLst>
        </c:ser>
        <c:dLbls/>
      </c:pie3DChart>
    </c:plotArea>
    <c:legend>
      <c:legendPos val="r"/>
    </c:legend>
    <c:plotVisOnly val="1"/>
    <c:dispBlanksAs val="zero"/>
    <c:showDLblsOverMax val="1"/>
  </c:chart>
  <c:spPr>
    <a:solidFill>
      <a:srgbClr val="FFFFFF">
        <a:alpha val="0"/>
      </a:srgbClr>
    </a:solidFill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roundedCorners val="1"/>
  <c:chart>
    <c:title>
      <c:tx>
        <c:rich>
          <a:bodyPr/>
          <a:lstStyle/>
          <a:p>
            <a:pPr lvl="0">
              <a:defRPr b="0"/>
            </a:pPr>
            <a:r>
              <a:t>Вища юридична освіта у респондентів</a:t>
            </a:r>
          </a:p>
        </c:rich>
      </c:tx>
    </c:title>
    <c:view3D>
      <c:rotX val="50"/>
      <c:rAngAx val="1"/>
    </c:view3D>
    <c:plotArea>
      <c:layout/>
      <c:pie3DChart>
        <c:varyColors val="1"/>
        <c:ser>
          <c:idx val="0"/>
          <c:order val="0"/>
          <c:dPt>
            <c:idx val="0"/>
            <c:spPr>
              <a:solidFill>
                <a:srgbClr val="3366CC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B0B-42AB-9E0F-23B8B634DCC1}"/>
              </c:ext>
            </c:extLst>
          </c:dPt>
          <c:dPt>
            <c:idx val="1"/>
            <c:spPr>
              <a:solidFill>
                <a:srgbClr val="DC391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B0B-42AB-9E0F-23B8B634DCC1}"/>
              </c:ext>
            </c:extLst>
          </c:dPt>
          <c:cat>
            <c:strRef>
              <c:f>Block1!$E$12:$E$13</c:f>
              <c:strCache>
                <c:ptCount val="2"/>
                <c:pt idx="0">
                  <c:v>Так</c:v>
                </c:pt>
                <c:pt idx="1">
                  <c:v>Ні</c:v>
                </c:pt>
              </c:strCache>
            </c:strRef>
          </c:cat>
          <c:val>
            <c:numRef>
              <c:f>Block1!$F$12:$F$13</c:f>
              <c:numCache>
                <c:formatCode>General</c:formatCode>
                <c:ptCount val="2"/>
                <c:pt idx="0">
                  <c:v>9</c:v>
                </c:pt>
                <c:pt idx="1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B0B-42AB-9E0F-23B8B634DCC1}"/>
            </c:ext>
          </c:extLst>
        </c:ser>
        <c:dLbls/>
      </c:pie3DChart>
    </c:plotArea>
    <c:legend>
      <c:legendPos val="r"/>
    </c:legend>
    <c:plotVisOnly val="1"/>
    <c:dispBlanksAs val="zero"/>
    <c:showDLblsOverMax val="1"/>
  </c:chart>
  <c:spPr>
    <a:solidFill>
      <a:srgbClr val="FFFFFF">
        <a:alpha val="0"/>
      </a:srgbClr>
    </a:solidFill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roundedCorners val="1"/>
  <c:chart>
    <c:title>
      <c:tx>
        <c:rich>
          <a:bodyPr/>
          <a:lstStyle/>
          <a:p>
            <a:pPr lvl="0">
              <a:defRPr b="0"/>
            </a:pPr>
            <a:r>
              <a:t>Розподіл респондентів за матеріальним станом</a:t>
            </a:r>
          </a:p>
        </c:rich>
      </c:tx>
    </c:title>
    <c:view3D>
      <c:rotX val="50"/>
      <c:rAngAx val="1"/>
    </c:view3D>
    <c:plotArea>
      <c:layout/>
      <c:pie3DChart>
        <c:varyColors val="1"/>
        <c:ser>
          <c:idx val="0"/>
          <c:order val="0"/>
          <c:dPt>
            <c:idx val="0"/>
            <c:spPr>
              <a:solidFill>
                <a:srgbClr val="3366CC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50E-4BE2-8D5A-7F5D1838D228}"/>
              </c:ext>
            </c:extLst>
          </c:dPt>
          <c:dPt>
            <c:idx val="1"/>
            <c:spPr>
              <a:solidFill>
                <a:srgbClr val="DC391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50E-4BE2-8D5A-7F5D1838D228}"/>
              </c:ext>
            </c:extLst>
          </c:dPt>
          <c:dPt>
            <c:idx val="2"/>
            <c:spPr>
              <a:solidFill>
                <a:srgbClr val="FF99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50E-4BE2-8D5A-7F5D1838D228}"/>
              </c:ext>
            </c:extLst>
          </c:dPt>
          <c:dPt>
            <c:idx val="3"/>
            <c:spPr>
              <a:solidFill>
                <a:srgbClr val="109618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50E-4BE2-8D5A-7F5D1838D228}"/>
              </c:ext>
            </c:extLst>
          </c:dPt>
          <c:dPt>
            <c:idx val="4"/>
            <c:spPr>
              <a:solidFill>
                <a:srgbClr val="990099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50E-4BE2-8D5A-7F5D1838D228}"/>
              </c:ext>
            </c:extLst>
          </c:dPt>
          <c:dPt>
            <c:idx val="5"/>
            <c:spPr>
              <a:solidFill>
                <a:srgbClr val="0099C6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50E-4BE2-8D5A-7F5D1838D228}"/>
              </c:ext>
            </c:extLst>
          </c:dPt>
          <c:cat>
            <c:strRef>
              <c:f>Block1!$A$21:$A$26</c:f>
              <c:strCache>
                <c:ptCount val="6"/>
                <c:pt idx="0">
                  <c:v>Змушені економити на харчуванні</c:v>
                </c:pt>
                <c:pt idx="1">
                  <c:v>Вистачає на харчування та необхідний одяг, взуття. Для таких покупок як гарний  костюм, мобільний телефон, пилосос необхідно заощадити або позичити</c:v>
                </c:pt>
                <c:pt idx="2">
                  <c:v>Вистачає на харчування, одяг, взуття, інші покупки. Але для придбання речей, які дорого коштують (таких як сучасний телевізор, холодильник, меблі) необхідно заощадити або позичити</c:v>
                </c:pt>
                <c:pt idx="3">
                  <c:v>Вистачає на харчування, одяг, взуття, дорогі покупки. Для таких покупок як машина, квартира необхідно заощадити або позичити</c:v>
                </c:pt>
                <c:pt idx="4">
                  <c:v>Будь-які необхідні покупки можу зробити в будь-який час</c:v>
                </c:pt>
                <c:pt idx="5">
                  <c:v>Не відповіли</c:v>
                </c:pt>
              </c:strCache>
            </c:strRef>
          </c:cat>
          <c:val>
            <c:numRef>
              <c:f>Block1!$F$21:$F$26</c:f>
              <c:numCache>
                <c:formatCode>General</c:formatCode>
                <c:ptCount val="6"/>
                <c:pt idx="0">
                  <c:v>7</c:v>
                </c:pt>
                <c:pt idx="1">
                  <c:v>5</c:v>
                </c:pt>
                <c:pt idx="2">
                  <c:v>11</c:v>
                </c:pt>
                <c:pt idx="3">
                  <c:v>6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450E-4BE2-8D5A-7F5D1838D228}"/>
            </c:ext>
          </c:extLst>
        </c:ser>
        <c:dLbls/>
      </c:pie3DChart>
    </c:plotArea>
    <c:legend>
      <c:legendPos val="r"/>
    </c:legend>
    <c:plotVisOnly val="1"/>
    <c:dispBlanksAs val="zero"/>
    <c:showDLblsOverMax val="1"/>
  </c:chart>
  <c:spPr>
    <a:solidFill>
      <a:srgbClr val="FFFFFF">
        <a:alpha val="0"/>
      </a:srgbClr>
    </a:solidFill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roundedCorners val="1"/>
  <c:chart>
    <c:title>
      <c:tx>
        <c:rich>
          <a:bodyPr/>
          <a:lstStyle/>
          <a:p>
            <a:pPr lvl="0">
              <a:defRPr b="0"/>
            </a:pPr>
            <a:r>
              <a:t>Розподіл респондентів за роллю в суді</a:t>
            </a:r>
          </a:p>
        </c:rich>
      </c:tx>
    </c:title>
    <c:view3D>
      <c:rotX val="50"/>
      <c:rAngAx val="1"/>
    </c:view3D>
    <c:plotArea>
      <c:layout/>
      <c:pie3DChart>
        <c:varyColors val="1"/>
        <c:ser>
          <c:idx val="0"/>
          <c:order val="0"/>
          <c:dPt>
            <c:idx val="0"/>
            <c:spPr>
              <a:solidFill>
                <a:srgbClr val="3366CC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DF3-400E-93BD-27A10E09EBCF}"/>
              </c:ext>
            </c:extLst>
          </c:dPt>
          <c:dPt>
            <c:idx val="1"/>
            <c:spPr>
              <a:solidFill>
                <a:srgbClr val="DC391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DF3-400E-93BD-27A10E09EBCF}"/>
              </c:ext>
            </c:extLst>
          </c:dPt>
          <c:dPt>
            <c:idx val="2"/>
            <c:spPr>
              <a:solidFill>
                <a:srgbClr val="FF99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DF3-400E-93BD-27A10E09EBCF}"/>
              </c:ext>
            </c:extLst>
          </c:dPt>
          <c:dPt>
            <c:idx val="3"/>
            <c:spPr>
              <a:solidFill>
                <a:srgbClr val="109618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DF3-400E-93BD-27A10E09EBCF}"/>
              </c:ext>
            </c:extLst>
          </c:dPt>
          <c:cat>
            <c:strRef>
              <c:f>Block1!$A$29:$A$32</c:f>
              <c:strCache>
                <c:ptCount val="4"/>
                <c:pt idx="0">
                  <c:v>Є учасником судових проваджень і представляєте особисто себе</c:v>
                </c:pt>
                <c:pt idx="1">
                  <c:v>Є учасником судових проваджень, але представляєте іншу фізичну чи юридичну особу (є адвокатом, представником прокуратури, юрист-консультантом)</c:v>
                </c:pt>
                <c:pt idx="2">
                  <c:v>Не є учасником судових проваджень</c:v>
                </c:pt>
                <c:pt idx="3">
                  <c:v>Інше</c:v>
                </c:pt>
              </c:strCache>
            </c:strRef>
          </c:cat>
          <c:val>
            <c:numRef>
              <c:f>Block1!$F$29:$F$32</c:f>
              <c:numCache>
                <c:formatCode>General</c:formatCode>
                <c:ptCount val="4"/>
                <c:pt idx="0">
                  <c:v>9</c:v>
                </c:pt>
                <c:pt idx="1">
                  <c:v>9</c:v>
                </c:pt>
                <c:pt idx="2">
                  <c:v>10</c:v>
                </c:pt>
                <c:pt idx="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DF3-400E-93BD-27A10E09EBCF}"/>
            </c:ext>
          </c:extLst>
        </c:ser>
        <c:dLbls/>
      </c:pie3DChart>
    </c:plotArea>
    <c:legend>
      <c:legendPos val="r"/>
    </c:legend>
    <c:plotVisOnly val="1"/>
    <c:dispBlanksAs val="zero"/>
    <c:showDLblsOverMax val="1"/>
  </c:chart>
  <c:spPr>
    <a:solidFill>
      <a:srgbClr val="FFFFFF">
        <a:alpha val="0"/>
      </a:srgbClr>
    </a:solidFill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roundedCorners val="1"/>
  <c:chart>
    <c:title>
      <c:tx>
        <c:rich>
          <a:bodyPr/>
          <a:lstStyle/>
          <a:p>
            <a:pPr lvl="0">
              <a:defRPr b="0"/>
            </a:pPr>
            <a:r>
              <a:t>Середня оцінка респондентами залежно від віку</a:t>
            </a:r>
          </a:p>
        </c:rich>
      </c:tx>
    </c:title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3366CC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uk-UA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Block1!$A$61:$A$64</c:f>
              <c:strCache>
                <c:ptCount val="4"/>
                <c:pt idx="0">
                  <c:v>Середня оцінка респонентами віком 18-25 років</c:v>
                </c:pt>
                <c:pt idx="1">
                  <c:v>Середня оцінка респонентами віком 26–39 років</c:v>
                </c:pt>
                <c:pt idx="2">
                  <c:v>Середня оцінка респонентами віком 40–59 років</c:v>
                </c:pt>
                <c:pt idx="3">
                  <c:v>Середня оцінка респонентами віком 60 років і старше</c:v>
                </c:pt>
              </c:strCache>
            </c:strRef>
          </c:cat>
          <c:val>
            <c:numRef>
              <c:f>Block1!$F$61:$F$64</c:f>
              <c:numCache>
                <c:formatCode>0.00</c:formatCode>
                <c:ptCount val="4"/>
                <c:pt idx="0">
                  <c:v>0</c:v>
                </c:pt>
                <c:pt idx="1">
                  <c:v>4.7272727272727275</c:v>
                </c:pt>
                <c:pt idx="2">
                  <c:v>4.583333333333333</c:v>
                </c:pt>
                <c:pt idx="3">
                  <c:v>4.5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AD-4547-B11F-A8E54DECC7CF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/>
        <c:axId val="149546880"/>
        <c:axId val="149548416"/>
      </c:barChart>
      <c:catAx>
        <c:axId val="149546880"/>
        <c:scaling>
          <c:orientation val="minMax"/>
        </c:scaling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/>
            </a:pPr>
            <a:endParaRPr lang="uk-UA"/>
          </a:p>
        </c:txPr>
        <c:crossAx val="149548416"/>
        <c:crosses val="autoZero"/>
        <c:auto val="1"/>
        <c:lblAlgn val="ctr"/>
        <c:lblOffset val="100"/>
        <c:noMultiLvlLbl val="1"/>
      </c:catAx>
      <c:valAx>
        <c:axId val="149548416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0.0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uk-UA"/>
          </a:p>
        </c:txPr>
        <c:crossAx val="149546880"/>
        <c:crosses val="autoZero"/>
        <c:crossBetween val="between"/>
      </c:valAx>
    </c:plotArea>
    <c:legend>
      <c:legendPos val="r"/>
    </c:legend>
    <c:plotVisOnly val="1"/>
    <c:dispBlanksAs val="zero"/>
    <c:showDLblsOverMax val="1"/>
  </c:chart>
  <c:spPr>
    <a:solidFill>
      <a:srgbClr val="FFFFFF">
        <a:alpha val="0"/>
      </a:srgbClr>
    </a:solidFill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roundedCorners val="1"/>
  <c:chart>
    <c:title>
      <c:tx>
        <c:rich>
          <a:bodyPr/>
          <a:lstStyle/>
          <a:p>
            <a:pPr lvl="0">
              <a:defRPr b="0"/>
            </a:pPr>
            <a:r>
              <a:t>Середня оцінка респондентами залежно від статі</a:t>
            </a:r>
          </a:p>
        </c:rich>
      </c:tx>
    </c:title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3366CC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uk-UA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Block1!$A$65:$A$66</c:f>
              <c:strCache>
                <c:ptCount val="2"/>
                <c:pt idx="0">
                  <c:v>Середня оцінка жінками</c:v>
                </c:pt>
                <c:pt idx="1">
                  <c:v>Середня оцінка чоловіками</c:v>
                </c:pt>
              </c:strCache>
            </c:strRef>
          </c:cat>
          <c:val>
            <c:numRef>
              <c:f>Block1!$F$65:$F$66</c:f>
              <c:numCache>
                <c:formatCode>0.00</c:formatCode>
                <c:ptCount val="2"/>
                <c:pt idx="0">
                  <c:v>4.4615384615384617</c:v>
                </c:pt>
                <c:pt idx="1">
                  <c:v>4.7857142857142856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D2-4927-96D8-29980E0DDFD8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/>
        <c:axId val="149594112"/>
        <c:axId val="149595648"/>
      </c:barChart>
      <c:catAx>
        <c:axId val="149594112"/>
        <c:scaling>
          <c:orientation val="minMax"/>
        </c:scaling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/>
            </a:pPr>
            <a:endParaRPr lang="uk-UA"/>
          </a:p>
        </c:txPr>
        <c:crossAx val="149595648"/>
        <c:crosses val="autoZero"/>
        <c:auto val="1"/>
        <c:lblAlgn val="ctr"/>
        <c:lblOffset val="100"/>
        <c:noMultiLvlLbl val="1"/>
      </c:catAx>
      <c:valAx>
        <c:axId val="149595648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0.0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uk-UA"/>
          </a:p>
        </c:txPr>
        <c:crossAx val="149594112"/>
        <c:crosses val="autoZero"/>
        <c:crossBetween val="between"/>
      </c:valAx>
    </c:plotArea>
    <c:legend>
      <c:legendPos val="r"/>
    </c:legend>
    <c:plotVisOnly val="1"/>
    <c:dispBlanksAs val="zero"/>
    <c:showDLblsOverMax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roundedCorners val="1"/>
  <c:chart>
    <c:title>
      <c:tx>
        <c:rich>
          <a:bodyPr/>
          <a:lstStyle/>
          <a:p>
            <a:pPr lvl="0">
              <a:defRPr b="0"/>
            </a:pPr>
            <a:r>
              <a:t>Середня оцінка респондентами залежно від освіти</a:t>
            </a:r>
          </a:p>
        </c:rich>
      </c:tx>
    </c:title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3366CC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uk-UA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Block1!$A$67:$A$71</c:f>
              <c:strCache>
                <c:ptCount val="5"/>
                <c:pt idx="0">
                  <c:v>Середня оцінка респондентами з середньою та неповною середньою освітою </c:v>
                </c:pt>
                <c:pt idx="1">
                  <c:v>Середня оцінка респондентами з вищою та неповною вищою освітою </c:v>
                </c:pt>
                <c:pt idx="2">
                  <c:v>Середня оцінка респондентами, які мають іншу освіту </c:v>
                </c:pt>
                <c:pt idx="3">
                  <c:v>Середня оцінка респондентами, які мають вищу юридичну освіту</c:v>
                </c:pt>
                <c:pt idx="4">
                  <c:v>Середня оцінка респондентами, які не мають вищої юридичної освіти</c:v>
                </c:pt>
              </c:strCache>
            </c:strRef>
          </c:cat>
          <c:val>
            <c:numRef>
              <c:f>Block1!$F$67:$F$71</c:f>
              <c:numCache>
                <c:formatCode>0.00</c:formatCode>
                <c:ptCount val="5"/>
                <c:pt idx="0">
                  <c:v>4.375</c:v>
                </c:pt>
                <c:pt idx="1">
                  <c:v>4.7368421052631575</c:v>
                </c:pt>
                <c:pt idx="2">
                  <c:v>0</c:v>
                </c:pt>
                <c:pt idx="3">
                  <c:v>4.8888888888888893</c:v>
                </c:pt>
                <c:pt idx="4">
                  <c:v>4.5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C7-4FB3-A227-842D0B48755F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/>
        <c:axId val="97585024"/>
        <c:axId val="97586560"/>
      </c:barChart>
      <c:catAx>
        <c:axId val="97585024"/>
        <c:scaling>
          <c:orientation val="minMax"/>
        </c:scaling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sz="1000" b="0"/>
            </a:pPr>
            <a:endParaRPr lang="uk-UA"/>
          </a:p>
        </c:txPr>
        <c:crossAx val="97586560"/>
        <c:crosses val="autoZero"/>
        <c:auto val="1"/>
        <c:lblAlgn val="ctr"/>
        <c:lblOffset val="100"/>
        <c:noMultiLvlLbl val="1"/>
      </c:catAx>
      <c:valAx>
        <c:axId val="97586560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0.0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uk-UA"/>
          </a:p>
        </c:txPr>
        <c:crossAx val="97585024"/>
        <c:crosses val="autoZero"/>
        <c:crossBetween val="between"/>
      </c:valAx>
    </c:plotArea>
    <c:legend>
      <c:legendPos val="r"/>
      <c:txPr>
        <a:bodyPr/>
        <a:lstStyle/>
        <a:p>
          <a:pPr lvl="0">
            <a:defRPr sz="3000"/>
          </a:pPr>
          <a:endParaRPr lang="uk-UA"/>
        </a:p>
      </c:txPr>
    </c:legend>
    <c:plotVisOnly val="1"/>
    <c:dispBlanksAs val="zero"/>
    <c:showDLblsOverMax val="1"/>
  </c:chart>
  <c:spPr>
    <a:solidFill>
      <a:srgbClr val="FFFFFF">
        <a:alpha val="0"/>
      </a:srgbClr>
    </a:solidFill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5715000" cy="3533775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6</xdr:col>
      <xdr:colOff>152400</xdr:colOff>
      <xdr:row>0</xdr:row>
      <xdr:rowOff>104775</xdr:rowOff>
    </xdr:from>
    <xdr:ext cx="5715000" cy="3533775"/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66675</xdr:colOff>
      <xdr:row>18</xdr:row>
      <xdr:rowOff>142875</xdr:rowOff>
    </xdr:from>
    <xdr:ext cx="5734050" cy="3543300"/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6</xdr:col>
      <xdr:colOff>152400</xdr:colOff>
      <xdr:row>18</xdr:row>
      <xdr:rowOff>142875</xdr:rowOff>
    </xdr:from>
    <xdr:ext cx="5715000" cy="3543300"/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0</xdr:col>
      <xdr:colOff>66675</xdr:colOff>
      <xdr:row>37</xdr:row>
      <xdr:rowOff>104775</xdr:rowOff>
    </xdr:from>
    <xdr:ext cx="5715000" cy="3543300"/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6</xdr:col>
      <xdr:colOff>161925</xdr:colOff>
      <xdr:row>37</xdr:row>
      <xdr:rowOff>95250</xdr:rowOff>
    </xdr:from>
    <xdr:ext cx="5715000" cy="3543300"/>
    <xdr:graphicFrame macro="">
      <xdr:nvGraphicFramePr>
        <xdr:cNvPr id="7" name="Chart 6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0</xdr:col>
      <xdr:colOff>76200</xdr:colOff>
      <xdr:row>55</xdr:row>
      <xdr:rowOff>161925</xdr:rowOff>
    </xdr:from>
    <xdr:ext cx="5686425" cy="3533775"/>
    <xdr:graphicFrame macro="">
      <xdr:nvGraphicFramePr>
        <xdr:cNvPr id="8" name="Chart 7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6</xdr:col>
      <xdr:colOff>161925</xdr:colOff>
      <xdr:row>55</xdr:row>
      <xdr:rowOff>171450</xdr:rowOff>
    </xdr:from>
    <xdr:ext cx="5686425" cy="3533775"/>
    <xdr:graphicFrame macro="">
      <xdr:nvGraphicFramePr>
        <xdr:cNvPr id="9" name="Chart 8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0</xdr:col>
      <xdr:colOff>85725</xdr:colOff>
      <xdr:row>74</xdr:row>
      <xdr:rowOff>28575</xdr:rowOff>
    </xdr:from>
    <xdr:ext cx="5686425" cy="3533775"/>
    <xdr:graphicFrame macro="">
      <xdr:nvGraphicFramePr>
        <xdr:cNvPr id="10" name="Chart 9">
          <a:extLst>
            <a:ext uri="{FF2B5EF4-FFF2-40B4-BE49-F238E27FC236}">
              <a16:creationId xmlns="" xmlns:a16="http://schemas.microsoft.com/office/drawing/2014/main" id="{00000000-0008-0000-0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6</xdr:col>
      <xdr:colOff>152400</xdr:colOff>
      <xdr:row>74</xdr:row>
      <xdr:rowOff>38100</xdr:rowOff>
    </xdr:from>
    <xdr:ext cx="5686425" cy="3533775"/>
    <xdr:graphicFrame macro="">
      <xdr:nvGraphicFramePr>
        <xdr:cNvPr id="11" name="Chart 10">
          <a:extLst>
            <a:ext uri="{FF2B5EF4-FFF2-40B4-BE49-F238E27FC236}">
              <a16:creationId xmlns="" xmlns:a16="http://schemas.microsoft.com/office/drawing/2014/main" id="{00000000-0008-0000-03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0</xdr:col>
      <xdr:colOff>66675</xdr:colOff>
      <xdr:row>92</xdr:row>
      <xdr:rowOff>95250</xdr:rowOff>
    </xdr:from>
    <xdr:ext cx="5686425" cy="3533775"/>
    <xdr:graphicFrame macro="">
      <xdr:nvGraphicFramePr>
        <xdr:cNvPr id="12" name="Chart 12">
          <a:extLst>
            <a:ext uri="{FF2B5EF4-FFF2-40B4-BE49-F238E27FC236}">
              <a16:creationId xmlns=""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0</xdr:col>
      <xdr:colOff>66675</xdr:colOff>
      <xdr:row>110</xdr:row>
      <xdr:rowOff>152400</xdr:rowOff>
    </xdr:from>
    <xdr:ext cx="5686425" cy="3533775"/>
    <xdr:graphicFrame macro="">
      <xdr:nvGraphicFramePr>
        <xdr:cNvPr id="14" name="Chart 14">
          <a:extLst>
            <a:ext uri="{FF2B5EF4-FFF2-40B4-BE49-F238E27FC236}">
              <a16:creationId xmlns="" xmlns:a16="http://schemas.microsoft.com/office/drawing/2014/main" id="{00000000-0008-0000-03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oneCellAnchor>
  <xdr:oneCellAnchor>
    <xdr:from>
      <xdr:col>6</xdr:col>
      <xdr:colOff>152400</xdr:colOff>
      <xdr:row>92</xdr:row>
      <xdr:rowOff>104775</xdr:rowOff>
    </xdr:from>
    <xdr:ext cx="5686425" cy="3533775"/>
    <xdr:graphicFrame macro="">
      <xdr:nvGraphicFramePr>
        <xdr:cNvPr id="15" name="Chart 15">
          <a:extLst>
            <a:ext uri="{FF2B5EF4-FFF2-40B4-BE49-F238E27FC236}">
              <a16:creationId xmlns="" xmlns:a16="http://schemas.microsoft.com/office/drawing/2014/main" id="{00000000-0008-0000-03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57150</xdr:rowOff>
    </xdr:from>
    <xdr:ext cx="10144125" cy="4800600"/>
    <xdr:graphicFrame macro="">
      <xdr:nvGraphicFramePr>
        <xdr:cNvPr id="11" name="Chart 11">
          <a:extLst>
            <a:ext uri="{FF2B5EF4-FFF2-40B4-BE49-F238E27FC236}">
              <a16:creationId xmlns="" xmlns:a16="http://schemas.microsoft.com/office/drawing/2014/main" id="{00000000-0008-0000-05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47625</xdr:colOff>
      <xdr:row>27</xdr:row>
      <xdr:rowOff>57150</xdr:rowOff>
    </xdr:from>
    <xdr:ext cx="10144125" cy="4800600"/>
    <xdr:graphicFrame macro="">
      <xdr:nvGraphicFramePr>
        <xdr:cNvPr id="13" name="Chart 13">
          <a:extLst>
            <a:ext uri="{FF2B5EF4-FFF2-40B4-BE49-F238E27FC236}">
              <a16:creationId xmlns="" xmlns:a16="http://schemas.microsoft.com/office/drawing/2014/main" id="{00000000-0008-0000-05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47625</xdr:colOff>
      <xdr:row>54</xdr:row>
      <xdr:rowOff>57150</xdr:rowOff>
    </xdr:from>
    <xdr:ext cx="10144125" cy="4800600"/>
    <xdr:graphicFrame macro="">
      <xdr:nvGraphicFramePr>
        <xdr:cNvPr id="16" name="Chart 16">
          <a:extLst>
            <a:ext uri="{FF2B5EF4-FFF2-40B4-BE49-F238E27FC236}">
              <a16:creationId xmlns="" xmlns:a16="http://schemas.microsoft.com/office/drawing/2014/main" id="{00000000-0008-0000-05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0</xdr:col>
      <xdr:colOff>47625</xdr:colOff>
      <xdr:row>80</xdr:row>
      <xdr:rowOff>57150</xdr:rowOff>
    </xdr:from>
    <xdr:ext cx="10144125" cy="4800600"/>
    <xdr:graphicFrame macro="">
      <xdr:nvGraphicFramePr>
        <xdr:cNvPr id="17" name="Chart 17">
          <a:extLst>
            <a:ext uri="{FF2B5EF4-FFF2-40B4-BE49-F238E27FC236}">
              <a16:creationId xmlns="" xmlns:a16="http://schemas.microsoft.com/office/drawing/2014/main" id="{00000000-0008-0000-05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0</xdr:col>
      <xdr:colOff>47625</xdr:colOff>
      <xdr:row>107</xdr:row>
      <xdr:rowOff>57150</xdr:rowOff>
    </xdr:from>
    <xdr:ext cx="10144125" cy="4800600"/>
    <xdr:graphicFrame macro="">
      <xdr:nvGraphicFramePr>
        <xdr:cNvPr id="18" name="Chart 18">
          <a:extLst>
            <a:ext uri="{FF2B5EF4-FFF2-40B4-BE49-F238E27FC236}">
              <a16:creationId xmlns="" xmlns:a16="http://schemas.microsoft.com/office/drawing/2014/main" id="{00000000-0008-0000-05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0</xdr:col>
      <xdr:colOff>47625</xdr:colOff>
      <xdr:row>133</xdr:row>
      <xdr:rowOff>57150</xdr:rowOff>
    </xdr:from>
    <xdr:ext cx="10144125" cy="4800600"/>
    <xdr:graphicFrame macro="">
      <xdr:nvGraphicFramePr>
        <xdr:cNvPr id="19" name="Chart 19">
          <a:extLst>
            <a:ext uri="{FF2B5EF4-FFF2-40B4-BE49-F238E27FC236}">
              <a16:creationId xmlns="" xmlns:a16="http://schemas.microsoft.com/office/drawing/2014/main" id="{00000000-0008-0000-05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D919"/>
  <sheetViews>
    <sheetView workbookViewId="0">
      <selection activeCell="D17" sqref="D17"/>
    </sheetView>
  </sheetViews>
  <sheetFormatPr defaultColWidth="14.42578125" defaultRowHeight="15.75" customHeight="1"/>
  <cols>
    <col min="1" max="1" width="4.42578125" customWidth="1"/>
    <col min="2" max="2" width="50.7109375" customWidth="1"/>
    <col min="3" max="3" width="12.28515625" customWidth="1"/>
    <col min="4" max="4" width="10.5703125" customWidth="1"/>
    <col min="5" max="6" width="8.5703125" customWidth="1"/>
    <col min="7" max="7" width="9.28515625" customWidth="1"/>
    <col min="8" max="8" width="8.7109375" customWidth="1"/>
    <col min="9" max="9" width="9.140625" customWidth="1"/>
    <col min="10" max="10" width="10.7109375" customWidth="1"/>
  </cols>
  <sheetData>
    <row r="1" spans="1:30" ht="15.75" customHeight="1">
      <c r="A1" s="2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15.75" customHeight="1">
      <c r="A2" s="7"/>
      <c r="B2" s="10" t="s">
        <v>1</v>
      </c>
      <c r="C2" s="11"/>
      <c r="D2" s="16">
        <f>COUNT(Data!$A$2:$A$500)</f>
        <v>30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>
      <c r="A3" s="18"/>
      <c r="B3" s="154" t="s">
        <v>8</v>
      </c>
      <c r="C3" s="134"/>
      <c r="D3" s="135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>
      <c r="A4" s="21"/>
      <c r="B4" s="22" t="s">
        <v>7</v>
      </c>
      <c r="C4" s="23">
        <f>COUNTIF(Data!B$2:B$300,"18–25 років")</f>
        <v>0</v>
      </c>
      <c r="D4" s="24">
        <f>C4/COUNT(Data!$A$2:$A$500)</f>
        <v>0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1:30">
      <c r="A5" s="21"/>
      <c r="B5" s="22" t="s">
        <v>10</v>
      </c>
      <c r="C5" s="23">
        <f>COUNTIF(Data!B$2:B$300,"26–39 років")</f>
        <v>11</v>
      </c>
      <c r="D5" s="24">
        <f>C5/COUNT(Data!$A$2:$A$500)</f>
        <v>0.36666666666666664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>
      <c r="A6" s="21"/>
      <c r="B6" s="22" t="s">
        <v>12</v>
      </c>
      <c r="C6" s="23">
        <f>COUNTIF(Data!B$2:B$300,"40–59 років")</f>
        <v>13</v>
      </c>
      <c r="D6" s="24">
        <f>C6/COUNT(Data!$A$2:$A$500)</f>
        <v>0.43333333333333335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>
      <c r="A7" s="21"/>
      <c r="B7" s="22" t="s">
        <v>13</v>
      </c>
      <c r="C7" s="23">
        <f>COUNTIF(Data!B$2:B$300,"60 років і старше")</f>
        <v>6</v>
      </c>
      <c r="D7" s="24">
        <f>C7/COUNT(Data!$A$2:$A$500)</f>
        <v>0.2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30">
      <c r="A8" s="28"/>
      <c r="B8" s="153" t="s">
        <v>18</v>
      </c>
      <c r="C8" s="134"/>
      <c r="D8" s="135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>
      <c r="A9" s="21"/>
      <c r="B9" s="22" t="s">
        <v>9</v>
      </c>
      <c r="C9" s="23">
        <f>COUNTIF(Data!C$2:C$500,"Чоловіча")</f>
        <v>15</v>
      </c>
      <c r="D9" s="24">
        <f>C9/COUNT(Data!$A$2:$A$500)</f>
        <v>0.5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>
      <c r="A10" s="21"/>
      <c r="B10" s="22" t="s">
        <v>11</v>
      </c>
      <c r="C10" s="23">
        <f>COUNTIF(Data!C$2:C$500,"Жіноча")</f>
        <v>15</v>
      </c>
      <c r="D10" s="24">
        <f>C10/COUNT(Data!$A$2:$A$500)</f>
        <v>0.5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0">
      <c r="A11" s="28"/>
      <c r="B11" s="153" t="s">
        <v>22</v>
      </c>
      <c r="C11" s="134"/>
      <c r="D11" s="135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 ht="31.5">
      <c r="A12" s="30"/>
      <c r="B12" s="31" t="s">
        <v>25</v>
      </c>
      <c r="C12" s="23">
        <f>COUNTIF(Data!F$2:F$300,"В населеному пункті, де розташований цей суд")</f>
        <v>20</v>
      </c>
      <c r="D12" s="24">
        <f>C12/COUNT(Data!$A$2:$A$500)</f>
        <v>0.66666666666666663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>
      <c r="A13" s="30"/>
      <c r="B13" s="31" t="s">
        <v>26</v>
      </c>
      <c r="C13" s="23">
        <f>COUNTIF(Data!F$2:F$300,"В іншому населеному пункті")</f>
        <v>10</v>
      </c>
      <c r="D13" s="24">
        <f>C13/COUNT(Data!$A$2:$A$500)</f>
        <v>0.33333333333333331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>
      <c r="A14" s="28"/>
      <c r="B14" s="153" t="s">
        <v>28</v>
      </c>
      <c r="C14" s="134"/>
      <c r="D14" s="135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>
      <c r="A15" s="30"/>
      <c r="B15" s="31" t="s">
        <v>29</v>
      </c>
      <c r="C15" s="23">
        <f>COUNTIF(Data!G$2:G$300,"Змушені економити на харчуванні")</f>
        <v>7</v>
      </c>
      <c r="D15" s="24">
        <f>C15/COUNT(Data!$A$2:$A$500)</f>
        <v>0.23333333333333334</v>
      </c>
      <c r="E15" s="1"/>
      <c r="F15" s="1"/>
      <c r="L15" s="3"/>
      <c r="M15" s="3"/>
      <c r="N15" s="3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ht="63">
      <c r="A16" s="30"/>
      <c r="B16" s="31" t="s">
        <v>30</v>
      </c>
      <c r="C16" s="23">
        <f>COUNTIF(Data!G$2:G$300,"Вистачає на харчування та необхідний одяг, взуття. Для таких покупок як гарний  костюм, мобільний телефон, пилосос необхідно заощадити або позичити")</f>
        <v>5</v>
      </c>
      <c r="D16" s="24">
        <f>C16/COUNT(Data!$A$2:$A$500)</f>
        <v>0.16666666666666666</v>
      </c>
      <c r="E16" s="1"/>
      <c r="F16" s="1"/>
      <c r="L16" s="3"/>
      <c r="M16" s="3"/>
      <c r="N16" s="3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ht="78.75">
      <c r="A17" s="30"/>
      <c r="B17" s="31" t="s">
        <v>31</v>
      </c>
      <c r="C17" s="23">
        <f>COUNTIF(Data!G$2:G$300,"Вистачає на харчування, одяг, взуття, інші покупки. Але для придбання речей, які дорого коштують (таких як сучасний телевізор, холодильник, меблі) необхідно заощадити або позичити")</f>
        <v>11</v>
      </c>
      <c r="D17" s="24">
        <f>C17/COUNT(Data!$A$2:$A$500)</f>
        <v>0.36666666666666664</v>
      </c>
      <c r="E17" s="1"/>
      <c r="F17" s="1"/>
      <c r="L17" s="3"/>
      <c r="M17" s="3"/>
      <c r="N17" s="3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47.25">
      <c r="A18" s="30"/>
      <c r="B18" s="31" t="s">
        <v>32</v>
      </c>
      <c r="C18" s="23">
        <f>COUNTIF(Data!G$2:G$300,"Вистачає на харчування, одяг, взуття, дорогі покупки. Для таких покупок як машина, квартира необхідно заощадити або позичити")</f>
        <v>6</v>
      </c>
      <c r="D18" s="24">
        <f>C18/COUNT(Data!$A$2:$A$500)</f>
        <v>0.2</v>
      </c>
      <c r="E18" s="1"/>
      <c r="F18" s="1"/>
      <c r="L18" s="3"/>
      <c r="M18" s="3"/>
      <c r="N18" s="3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31.5">
      <c r="A19" s="30"/>
      <c r="B19" s="31" t="s">
        <v>33</v>
      </c>
      <c r="C19" s="23">
        <f>COUNTIF(Data!G$2:G$300,"Будь-які необхідні покупки можу зробити в будь-який час")</f>
        <v>0</v>
      </c>
      <c r="D19" s="24">
        <f>C19/COUNT(Data!$A$2:$A$500)</f>
        <v>0</v>
      </c>
      <c r="E19" s="1"/>
      <c r="F19" s="1"/>
      <c r="L19" s="3"/>
      <c r="M19" s="3"/>
      <c r="N19" s="3"/>
      <c r="O19" s="3"/>
      <c r="P19" s="3"/>
      <c r="Q19" s="3"/>
      <c r="R19" s="3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>
      <c r="A20" s="30"/>
      <c r="B20" s="31" t="s">
        <v>35</v>
      </c>
      <c r="C20" s="23">
        <f>COUNTIF(Data!G$2:G$300,"КН (код невідповіді)")</f>
        <v>1</v>
      </c>
      <c r="D20" s="24">
        <f>C20/COUNT(Data!$A$2:$A$500)</f>
        <v>3.3333333333333333E-2</v>
      </c>
      <c r="E20" s="1"/>
      <c r="F20" s="1"/>
      <c r="L20" s="3"/>
      <c r="M20" s="3"/>
      <c r="N20" s="3"/>
      <c r="O20" s="3"/>
      <c r="P20" s="3"/>
      <c r="Q20" s="3"/>
      <c r="R20" s="3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>
      <c r="A21" s="28"/>
      <c r="B21" s="153" t="s">
        <v>36</v>
      </c>
      <c r="C21" s="134"/>
      <c r="D21" s="135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>
      <c r="A22" s="33"/>
      <c r="B22" s="34" t="s">
        <v>16</v>
      </c>
      <c r="C22" s="23">
        <f>COUNTIF(Data!D$2:D$300,"Середня та неповна середня")</f>
        <v>8</v>
      </c>
      <c r="D22" s="24">
        <f>C22/COUNT(Data!$A$2:$A$500)</f>
        <v>0.26666666666666666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>
      <c r="A23" s="33"/>
      <c r="B23" s="34" t="s">
        <v>19</v>
      </c>
      <c r="C23" s="23">
        <f>COUNTIF(Data!D$2:D$300,"Вища та неповна вища")</f>
        <v>21</v>
      </c>
      <c r="D23" s="24">
        <f>C23/COUNT(Data!$A$2:$A$500)</f>
        <v>0.7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>
      <c r="A24" s="33"/>
      <c r="B24" s="34" t="s">
        <v>21</v>
      </c>
      <c r="C24" s="23">
        <f>COUNTIF(Data!D$2:D$300,"Інше (вкажіть)")</f>
        <v>1</v>
      </c>
      <c r="D24" s="24">
        <f>C24/COUNT(Data!$A$2:$A$500)</f>
        <v>3.3333333333333333E-2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>
      <c r="A25" s="28"/>
      <c r="B25" s="153" t="s">
        <v>41</v>
      </c>
      <c r="C25" s="134"/>
      <c r="D25" s="135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ht="31.5">
      <c r="A26" s="30"/>
      <c r="B26" s="31" t="s">
        <v>38</v>
      </c>
      <c r="C26" s="23">
        <f>COUNTIF(Data!H$2:H$500,"Є учасником судових проваджень і представляєте особисто себе")</f>
        <v>9</v>
      </c>
      <c r="D26" s="24">
        <f>C26/COUNT(Data!$A$2:$A$500)</f>
        <v>0.3</v>
      </c>
      <c r="E26" s="1"/>
      <c r="F26" s="1"/>
    </row>
    <row r="27" spans="1:30" ht="63">
      <c r="A27" s="30"/>
      <c r="B27" s="31" t="s">
        <v>39</v>
      </c>
      <c r="C27" s="23">
        <f>COUNTIF(Data!H$2:H$500,"Є учасником судових проваджень, але представляєте іншу фізичну чи юридичну особу (є адвокатом, представником прокуратури, юрист-консультантом)")</f>
        <v>9</v>
      </c>
      <c r="D27" s="24">
        <f>C27/COUNT(Data!$A$2:$A$500)</f>
        <v>0.3</v>
      </c>
      <c r="E27" s="1"/>
      <c r="F27" s="1"/>
    </row>
    <row r="28" spans="1:30">
      <c r="A28" s="30"/>
      <c r="B28" s="31" t="s">
        <v>40</v>
      </c>
      <c r="C28" s="23">
        <f>COUNTIF(Data!H$2:H$500,"Не є учасником судових проваджень")</f>
        <v>10</v>
      </c>
      <c r="D28" s="24">
        <f>C28/COUNT(Data!$A$2:$A$500)</f>
        <v>0.33333333333333331</v>
      </c>
      <c r="E28" s="1"/>
      <c r="F28" s="1"/>
    </row>
    <row r="29" spans="1:30">
      <c r="A29" s="30"/>
      <c r="B29" s="31" t="s">
        <v>21</v>
      </c>
      <c r="C29" s="23">
        <f>COUNTIF(Data!H$2:H$500,"Інше")</f>
        <v>2</v>
      </c>
      <c r="D29" s="24">
        <f>C29/COUNT(Data!$A$2:$A$500)</f>
        <v>6.6666666666666666E-2</v>
      </c>
      <c r="E29" s="1"/>
      <c r="F29" s="1"/>
    </row>
    <row r="30" spans="1:30">
      <c r="A30" s="28"/>
      <c r="B30" s="153" t="s">
        <v>46</v>
      </c>
      <c r="C30" s="134"/>
      <c r="D30" s="135"/>
      <c r="F30" s="1"/>
      <c r="G30" s="1"/>
      <c r="H30" s="1"/>
      <c r="I30" s="1"/>
      <c r="J30" s="1"/>
      <c r="K30" s="1"/>
    </row>
    <row r="31" spans="1:30">
      <c r="A31" s="30"/>
      <c r="B31" s="31" t="s">
        <v>44</v>
      </c>
      <c r="C31" s="23">
        <f>COUNTIF(Data!I$2:I$500,"Цивільний процес")</f>
        <v>15</v>
      </c>
      <c r="D31" s="24">
        <f>C31/COUNT(Data!$A$2:$A$500)</f>
        <v>0.5</v>
      </c>
      <c r="F31" s="1"/>
      <c r="G31" s="1"/>
      <c r="H31" s="1"/>
      <c r="I31" s="1"/>
      <c r="J31" s="1"/>
      <c r="K31" s="1"/>
    </row>
    <row r="32" spans="1:30">
      <c r="A32" s="30"/>
      <c r="B32" s="31" t="s">
        <v>47</v>
      </c>
      <c r="C32" s="23">
        <f>COUNTIF(Data!I$2:I$500,"Кримінальний процес")</f>
        <v>6</v>
      </c>
      <c r="D32" s="24">
        <f>C32/COUNT(Data!$A$2:$A$500)</f>
        <v>0.2</v>
      </c>
      <c r="F32" s="1"/>
      <c r="G32" s="1"/>
      <c r="H32" s="1"/>
      <c r="I32" s="1"/>
      <c r="J32" s="1"/>
      <c r="K32" s="1"/>
    </row>
    <row r="33" spans="1:30">
      <c r="A33" s="40"/>
      <c r="B33" s="42" t="s">
        <v>49</v>
      </c>
      <c r="C33" s="23">
        <f>COUNTIF(Data!I$2:I$500,"Адміністративний процес")</f>
        <v>5</v>
      </c>
      <c r="D33" s="24">
        <f>C33/COUNT(Data!$A$2:$A$500)</f>
        <v>0.16666666666666666</v>
      </c>
      <c r="F33" s="1"/>
      <c r="G33" s="1"/>
      <c r="H33" s="1"/>
      <c r="I33" s="1"/>
      <c r="J33" s="1"/>
      <c r="K33" s="1"/>
    </row>
    <row r="34" spans="1:30">
      <c r="A34" s="40"/>
      <c r="B34" s="42" t="s">
        <v>51</v>
      </c>
      <c r="C34" s="23">
        <f>COUNTIF(Data!I$2:I$500,"Господарський процес")</f>
        <v>0</v>
      </c>
      <c r="D34" s="24">
        <f>C34/COUNT(Data!$A$2:$A$500)</f>
        <v>0</v>
      </c>
      <c r="F34" s="1"/>
      <c r="G34" s="1"/>
      <c r="H34" s="1"/>
      <c r="I34" s="1"/>
      <c r="J34" s="1"/>
      <c r="K34" s="1"/>
    </row>
    <row r="35" spans="1:30">
      <c r="A35" s="40"/>
      <c r="B35" s="42" t="s">
        <v>52</v>
      </c>
      <c r="C35" s="23">
        <f>COUNTIF(Data!I$2:I$500,"Справа про адміністративні  правопорушення")</f>
        <v>0</v>
      </c>
      <c r="D35" s="24">
        <f>C35/COUNT(Data!$A$2:$A$500)</f>
        <v>0</v>
      </c>
      <c r="F35" s="1"/>
      <c r="G35" s="1"/>
      <c r="H35" s="1"/>
      <c r="I35" s="1"/>
      <c r="J35" s="1"/>
      <c r="K35" s="1"/>
    </row>
    <row r="36" spans="1:30">
      <c r="A36" s="28"/>
      <c r="B36" s="153" t="s">
        <v>53</v>
      </c>
      <c r="C36" s="134"/>
      <c r="D36" s="135"/>
      <c r="F36" s="1"/>
      <c r="G36" s="1"/>
      <c r="H36" s="1"/>
      <c r="I36" s="1"/>
      <c r="J36" s="1"/>
      <c r="K36" s="1"/>
    </row>
    <row r="37" spans="1:30">
      <c r="A37" s="43"/>
      <c r="B37" s="44" t="s">
        <v>45</v>
      </c>
      <c r="C37" s="23">
        <f>COUNTIF(Data!J$2:J$500,"Розгляд справи ще не розпочато")</f>
        <v>4</v>
      </c>
      <c r="D37" s="24">
        <f>C37/COUNT(Data!$A$2:$A$500)</f>
        <v>0.13333333333333333</v>
      </c>
      <c r="F37" s="1"/>
      <c r="G37" s="1"/>
      <c r="H37" s="1"/>
      <c r="I37" s="1"/>
      <c r="J37" s="1"/>
      <c r="K37" s="1"/>
    </row>
    <row r="38" spans="1:30">
      <c r="A38" s="43"/>
      <c r="B38" s="44" t="s">
        <v>48</v>
      </c>
      <c r="C38" s="23">
        <f>COUNTIF(Data!J$2:J$500,"Справа перебуває в процесі розгляду")</f>
        <v>8</v>
      </c>
      <c r="D38" s="24">
        <f>C38/COUNT(Data!$A$2:$A$500)</f>
        <v>0.26666666666666666</v>
      </c>
      <c r="F38" s="1"/>
      <c r="G38" s="1"/>
      <c r="H38" s="1"/>
      <c r="I38" s="1"/>
      <c r="J38" s="1"/>
      <c r="K38" s="1"/>
    </row>
    <row r="39" spans="1:30">
      <c r="A39" s="43"/>
      <c r="B39" s="44" t="s">
        <v>50</v>
      </c>
      <c r="C39" s="23">
        <f>COUNTIF(Data!J$2:J$500,"Розгляд справи завершено (винесено рішення)")</f>
        <v>12</v>
      </c>
      <c r="D39" s="24">
        <f>C39/COUNT(Data!$A$2:$A$500)</f>
        <v>0.4</v>
      </c>
      <c r="F39" s="1"/>
      <c r="G39" s="1"/>
      <c r="H39" s="1"/>
      <c r="I39" s="1"/>
      <c r="J39" s="1"/>
      <c r="K39" s="1"/>
    </row>
    <row r="40" spans="1:30">
      <c r="A40" s="43"/>
      <c r="B40" s="44" t="s">
        <v>21</v>
      </c>
      <c r="C40" s="23">
        <f>COUNTIF(Data!J$2:J$500,"Інше")</f>
        <v>6</v>
      </c>
      <c r="D40" s="24">
        <f>C40/COUNT(Data!$A$2:$A$500)</f>
        <v>0.2</v>
      </c>
      <c r="F40" s="1"/>
      <c r="G40" s="1"/>
      <c r="H40" s="1"/>
      <c r="I40" s="1"/>
      <c r="J40" s="1"/>
      <c r="K40" s="25"/>
    </row>
    <row r="41" spans="1:30" ht="15">
      <c r="A41" s="3"/>
      <c r="B41" s="3"/>
      <c r="C41" s="3"/>
      <c r="D41" s="3"/>
      <c r="E41" s="3"/>
      <c r="F41" s="1"/>
      <c r="G41" s="1"/>
      <c r="H41" s="1"/>
      <c r="I41" s="1"/>
      <c r="J41" s="1"/>
      <c r="K41" s="25"/>
      <c r="L41" s="3"/>
      <c r="M41" s="3"/>
      <c r="N41" s="3"/>
      <c r="O41" s="3"/>
      <c r="P41" s="3"/>
      <c r="Q41" s="3"/>
      <c r="R41" s="3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30" ht="18.75">
      <c r="A42" s="48"/>
      <c r="B42" s="48"/>
      <c r="C42" s="3"/>
      <c r="D42" s="3"/>
      <c r="E42" s="3"/>
      <c r="F42" s="1"/>
      <c r="G42" s="1"/>
      <c r="H42" s="1"/>
      <c r="I42" s="1"/>
      <c r="J42" s="1"/>
      <c r="K42" s="25"/>
      <c r="L42" s="3"/>
      <c r="M42" s="3"/>
      <c r="N42" s="3"/>
      <c r="O42" s="3"/>
      <c r="P42" s="3"/>
      <c r="Q42" s="3"/>
      <c r="R42" s="3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</row>
    <row r="43" spans="1:30" ht="18.75">
      <c r="A43" s="48"/>
      <c r="B43" s="48" t="s">
        <v>60</v>
      </c>
      <c r="C43" s="3"/>
      <c r="D43" s="3"/>
      <c r="E43" s="3"/>
      <c r="F43" s="1"/>
      <c r="G43" s="1"/>
      <c r="H43" s="1"/>
      <c r="I43" s="1"/>
      <c r="J43" s="1"/>
      <c r="K43" s="25"/>
      <c r="L43" s="3"/>
      <c r="M43" s="3"/>
      <c r="N43" s="3"/>
      <c r="O43" s="3"/>
      <c r="P43" s="3"/>
      <c r="Q43" s="3"/>
      <c r="R43" s="3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</row>
    <row r="44" spans="1:30" ht="63">
      <c r="A44" s="50" t="s">
        <v>61</v>
      </c>
      <c r="B44" s="50" t="s">
        <v>62</v>
      </c>
      <c r="C44" s="50" t="s">
        <v>1</v>
      </c>
      <c r="D44" s="50" t="s">
        <v>63</v>
      </c>
      <c r="E44" s="50">
        <v>2</v>
      </c>
      <c r="F44" s="50">
        <v>3</v>
      </c>
      <c r="G44" s="51">
        <v>4</v>
      </c>
      <c r="H44" s="51">
        <v>5</v>
      </c>
      <c r="I44" s="52" t="s">
        <v>35</v>
      </c>
      <c r="J44" s="52" t="s">
        <v>64</v>
      </c>
      <c r="K44" s="1"/>
      <c r="L44" s="3"/>
      <c r="M44" s="3"/>
      <c r="N44" s="3"/>
      <c r="O44" s="3"/>
      <c r="P44" s="3"/>
      <c r="Q44" s="3"/>
      <c r="R44" s="3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</row>
    <row r="45" spans="1:30">
      <c r="A45" s="53">
        <v>1</v>
      </c>
      <c r="B45" s="54" t="s">
        <v>65</v>
      </c>
      <c r="C45" s="23">
        <f>COUNTIF(Data!B$2:B$300,"18–25 років")</f>
        <v>0</v>
      </c>
      <c r="D45" s="53">
        <f>COUNTIFS(Data!$B$2:$B$500,"18–25 років",Data!$M$2:$M$500,1)</f>
        <v>0</v>
      </c>
      <c r="E45" s="53">
        <f>COUNTIFS(Data!$B$2:$B$500,"18–25 років",Data!$M$2:$M$500,2)</f>
        <v>0</v>
      </c>
      <c r="F45" s="53">
        <f>COUNTIFS(Data!$B$2:$B$500,"18–25 років",Data!$M$2:$M$500,3)</f>
        <v>0</v>
      </c>
      <c r="G45" s="53">
        <f>COUNTIFS(Data!$B$2:$B$500,"18–25 років",Data!$M$2:$M$500,4)</f>
        <v>0</v>
      </c>
      <c r="H45" s="53">
        <f>COUNTIFS(Data!$B$2:$B$500,"18–25 років",Data!$M$2:$M$500,5)</f>
        <v>0</v>
      </c>
      <c r="I45" s="53">
        <f>COUNTIFS(Data!$B$2:$B$500,"18–25 років",Data!$M$2:$M$500,9)</f>
        <v>0</v>
      </c>
      <c r="J45" s="55" t="e">
        <f t="shared" ref="J45:J71" si="0">((H45*5)+(G45*4)+(F45*3)+(E45*2)+(D45*1))/SUM(D45:H45)</f>
        <v>#DIV/0!</v>
      </c>
      <c r="K45" s="1"/>
      <c r="M45" s="3"/>
      <c r="N45" s="3"/>
      <c r="O45" s="3"/>
      <c r="P45" s="3"/>
      <c r="Q45" s="3"/>
      <c r="R45" s="3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</row>
    <row r="46" spans="1:30">
      <c r="A46" s="53">
        <v>2</v>
      </c>
      <c r="B46" s="54" t="s">
        <v>67</v>
      </c>
      <c r="C46" s="23">
        <f>COUNTIF(Data!B$2:B$300,"26–39 років")</f>
        <v>11</v>
      </c>
      <c r="D46" s="53">
        <f>COUNTIFS(Data!$B$2:$B$500,"26–39 років",Data!$M$2:$M$500,1)</f>
        <v>0</v>
      </c>
      <c r="E46" s="53">
        <f>COUNTIFS(Data!$B$2:$B$500,"26–39 років",Data!$M$2:$M$500,2)</f>
        <v>0</v>
      </c>
      <c r="F46" s="53">
        <f>COUNTIFS(Data!$B$2:$B$500,"26–39 років",Data!$M$2:$M$500,3)</f>
        <v>1</v>
      </c>
      <c r="G46" s="53">
        <f>COUNTIFS(Data!$B$2:$B$500,"26–39 років",Data!$M$2:$M$500,4)</f>
        <v>1</v>
      </c>
      <c r="H46" s="53">
        <f>COUNTIFS(Data!$B$2:$B$500,"26–39 років",Data!$M$2:$M$500,5)</f>
        <v>9</v>
      </c>
      <c r="I46" s="53">
        <f>COUNTIFS(Data!$B$2:$B$500,"26–39 років",Data!$M$2:$M$500,9)</f>
        <v>0</v>
      </c>
      <c r="J46" s="55">
        <f t="shared" si="0"/>
        <v>4.7272727272727275</v>
      </c>
      <c r="K46" s="28"/>
      <c r="L46" s="56"/>
      <c r="M46" s="3"/>
      <c r="N46" s="3"/>
      <c r="O46" s="3"/>
      <c r="P46" s="3"/>
      <c r="Q46" s="3"/>
      <c r="R46" s="3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</row>
    <row r="47" spans="1:30">
      <c r="A47" s="53">
        <v>3</v>
      </c>
      <c r="B47" s="54" t="s">
        <v>68</v>
      </c>
      <c r="C47" s="23">
        <f>COUNTIF(Data!B$2:B$300,"40–59 років")</f>
        <v>13</v>
      </c>
      <c r="D47" s="53">
        <f>COUNTIFS(Data!$B$2:$B$500,"40–59 років",Data!$M$2:$M$500,1)</f>
        <v>0</v>
      </c>
      <c r="E47" s="53">
        <f>COUNTIFS(Data!$B$2:$B$500,"40–59 років",Data!$M$2:$M$500,2)</f>
        <v>0</v>
      </c>
      <c r="F47" s="53">
        <f>COUNTIFS(Data!$B$2:$B$500,"40–59 років",Data!$M$2:$M$500,3)</f>
        <v>1</v>
      </c>
      <c r="G47" s="53">
        <f>COUNTIFS(Data!$B$2:$B$500,"40–59 років",Data!$M$2:$M$500,4)</f>
        <v>3</v>
      </c>
      <c r="H47" s="53">
        <f>COUNTIFS(Data!$B$2:$B$500,"40–59 років",Data!$M$2:$M$500,5)</f>
        <v>8</v>
      </c>
      <c r="I47" s="53">
        <f>COUNTIFS(Data!$B$2:$B$500,"40–59 років",Data!$M$2:$M$500,9)</f>
        <v>1</v>
      </c>
      <c r="J47" s="55">
        <f t="shared" si="0"/>
        <v>4.583333333333333</v>
      </c>
      <c r="K47" s="28"/>
      <c r="L47" s="56"/>
      <c r="M47" s="3"/>
      <c r="N47" s="3"/>
      <c r="O47" s="3"/>
      <c r="P47" s="3"/>
      <c r="Q47" s="3"/>
      <c r="R47" s="3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spans="1:30">
      <c r="A48" s="53">
        <v>4</v>
      </c>
      <c r="B48" s="54" t="s">
        <v>70</v>
      </c>
      <c r="C48" s="23">
        <f>COUNTIF(Data!B$2:B$300,"60 років і старше")</f>
        <v>6</v>
      </c>
      <c r="D48" s="53">
        <f>COUNTIFS(Data!$B$2:$B$500,"60 років і старше",Data!$M$2:$M$500,1)</f>
        <v>0</v>
      </c>
      <c r="E48" s="53">
        <f>COUNTIFS(Data!$B$2:$B$500,"60 років і старше",Data!$M$2:$M$500,2)</f>
        <v>0</v>
      </c>
      <c r="F48" s="53">
        <f>COUNTIFS(Data!$B$2:$B$500,"60 років і старше",Data!$M$2:$M$500,3)</f>
        <v>0</v>
      </c>
      <c r="G48" s="53">
        <f>COUNTIFS(Data!$B$2:$B$500,"60 років і старше",Data!$M$2:$M$500,4)</f>
        <v>2</v>
      </c>
      <c r="H48" s="53">
        <f>COUNTIFS(Data!$B$2:$B$500,"60 років і старше",Data!$M$2:$M$500,5)</f>
        <v>2</v>
      </c>
      <c r="I48" s="53">
        <f>COUNTIFS(Data!$B$2:$B$500,"60 років і старше",Data!$M$2:$M$500,9)</f>
        <v>2</v>
      </c>
      <c r="J48" s="55">
        <f t="shared" si="0"/>
        <v>4.5</v>
      </c>
      <c r="K48" s="28"/>
      <c r="L48" s="56"/>
      <c r="M48" s="3"/>
      <c r="N48" s="3"/>
      <c r="O48" s="3"/>
      <c r="P48" s="3"/>
      <c r="Q48" s="3"/>
      <c r="R48" s="3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>
      <c r="A49" s="53">
        <v>5</v>
      </c>
      <c r="B49" s="54" t="s">
        <v>72</v>
      </c>
      <c r="C49" s="23">
        <f>COUNTIF(Data!C$2:C$300,"Чоловіча")</f>
        <v>15</v>
      </c>
      <c r="D49" s="53">
        <f>COUNTIFS(Data!$C$2:$C$500,"Чоловіча",Data!$M$2:$M$500,1)</f>
        <v>0</v>
      </c>
      <c r="E49" s="53">
        <f>COUNTIFS(Data!$C$2:$C$500,"Чоловіча",Data!$M$2:$M$500,2)</f>
        <v>0</v>
      </c>
      <c r="F49" s="53">
        <f>COUNTIFS(Data!$C$2:$C$500,"Чоловіча",Data!$M$2:$M$500,3)</f>
        <v>0</v>
      </c>
      <c r="G49" s="53">
        <f>COUNTIFS(Data!$C$2:$C$500,"Чоловіча",Data!$M$2:$M$500,4)</f>
        <v>3</v>
      </c>
      <c r="H49" s="53">
        <f>COUNTIFS(Data!$C$2:$C$500,"Чоловіча",Data!$M$2:$M$500,5)</f>
        <v>11</v>
      </c>
      <c r="I49" s="53">
        <f>COUNTIFS(Data!$C$2:$C$500,"Чоловіча",Data!$M$2:$M$500,9)</f>
        <v>1</v>
      </c>
      <c r="J49" s="55">
        <f t="shared" si="0"/>
        <v>4.7857142857142856</v>
      </c>
      <c r="K49" s="28"/>
      <c r="L49" s="56"/>
      <c r="M49" s="3"/>
      <c r="N49" s="3"/>
      <c r="O49" s="3"/>
      <c r="P49" s="3"/>
      <c r="Q49" s="3"/>
      <c r="R49" s="3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>
      <c r="A50" s="53">
        <v>6</v>
      </c>
      <c r="B50" s="54" t="s">
        <v>74</v>
      </c>
      <c r="C50" s="23">
        <f>COUNTIF(Data!C$2:C$300,"Жіноча")</f>
        <v>15</v>
      </c>
      <c r="D50" s="53">
        <f>COUNTIFS(Data!$C$2:$C$500,"Жіноча",Data!$M$2:$M$500,1)</f>
        <v>0</v>
      </c>
      <c r="E50" s="53">
        <f>COUNTIFS(Data!$C$2:$C$500,"Жіноча",Data!$M$2:$M$500,2)</f>
        <v>0</v>
      </c>
      <c r="F50" s="53">
        <f>COUNTIFS(Data!$C$2:$C$500,"Жіноча",Data!$M$2:$M$500,3)</f>
        <v>2</v>
      </c>
      <c r="G50" s="53">
        <f>COUNTIFS(Data!$C$2:$C$500,"Жіноча",Data!$M$2:$M$500,4)</f>
        <v>3</v>
      </c>
      <c r="H50" s="53">
        <f>COUNTIFS(Data!$C$2:$C$500,"Жіноча",Data!$M$2:$M$500,5)</f>
        <v>8</v>
      </c>
      <c r="I50" s="53">
        <f>COUNTIFS(Data!$C$2:$C$500,"Жіноча",Data!$M$2:$M$500,9)</f>
        <v>2</v>
      </c>
      <c r="J50" s="55">
        <f t="shared" si="0"/>
        <v>4.4615384615384617</v>
      </c>
      <c r="K50" s="28"/>
      <c r="L50" s="56"/>
      <c r="M50" s="3"/>
      <c r="N50" s="3"/>
      <c r="O50" s="3"/>
      <c r="P50" s="3"/>
      <c r="Q50" s="3"/>
      <c r="R50" s="3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0" ht="30.75">
      <c r="A51" s="53">
        <v>7</v>
      </c>
      <c r="B51" s="54" t="s">
        <v>76</v>
      </c>
      <c r="C51" s="23">
        <f>COUNTIF(Data!D$2:D$300,"Середня та неповна середня")</f>
        <v>8</v>
      </c>
      <c r="D51" s="53">
        <f>COUNTIFS(Data!$D$2:$D$500,"Середня та неповна середня",Data!$M$2:$M$500,1)</f>
        <v>0</v>
      </c>
      <c r="E51" s="53">
        <f>COUNTIFS(Data!$D$2:$D$500,"Середня та неповна середня",Data!$M$2:$M$500,2)</f>
        <v>0</v>
      </c>
      <c r="F51" s="53">
        <f>COUNTIFS(Data!$D$2:$D$500,"Середня та неповна середня",Data!$M$2:$M$500,3)</f>
        <v>1</v>
      </c>
      <c r="G51" s="53">
        <f>COUNTIFS(Data!$D$2:$D$500,"Середня та неповна середня",Data!$M$2:$M$500,4)</f>
        <v>3</v>
      </c>
      <c r="H51" s="53">
        <f>COUNTIFS(Data!$D$2:$D$500,"Середня та неповна середня",Data!$M$2:$M$500,5)</f>
        <v>4</v>
      </c>
      <c r="I51" s="53">
        <f>COUNTIFS(Data!$D$2:$D$500,"Середня та неповна середня",Data!$M$2:$M$500,9)</f>
        <v>0</v>
      </c>
      <c r="J51" s="55">
        <f t="shared" si="0"/>
        <v>4.375</v>
      </c>
      <c r="K51" s="28"/>
      <c r="L51" s="56"/>
      <c r="M51" s="3"/>
      <c r="N51" s="3"/>
      <c r="O51" s="3"/>
      <c r="P51" s="3"/>
      <c r="Q51" s="3"/>
      <c r="R51" s="3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:30" ht="30.75">
      <c r="A52" s="53">
        <v>8</v>
      </c>
      <c r="B52" s="54" t="s">
        <v>78</v>
      </c>
      <c r="C52" s="23">
        <f>COUNTIF(Data!D$2:D$300,"Вища та неповна вища")</f>
        <v>21</v>
      </c>
      <c r="D52" s="53">
        <f>COUNTIFS(Data!$D$2:$D$500,"Вища та неповна вища",Data!$M$2:$M$500,1)</f>
        <v>0</v>
      </c>
      <c r="E52" s="53">
        <f>COUNTIFS(Data!$D$2:$D$500,"Вища та неповна вища",Data!$M$2:$M$500,2)</f>
        <v>0</v>
      </c>
      <c r="F52" s="53">
        <f>COUNTIFS(Data!$D$2:$D$500,"Вища та неповна вища",Data!$M$2:$M$500,3)</f>
        <v>1</v>
      </c>
      <c r="G52" s="53">
        <f>COUNTIFS(Data!$D$2:$D$500,"Вища та неповна вища",Data!$M$2:$M$500,4)</f>
        <v>3</v>
      </c>
      <c r="H52" s="53">
        <f>COUNTIFS(Data!$D$2:$D$500,"Вища та неповна вища",Data!$M$2:$M$500,5)</f>
        <v>15</v>
      </c>
      <c r="I52" s="53">
        <f>COUNTIFS(Data!$D$2:$D$500,"Вища та неповна вища",Data!$M$2:$M$500,9)</f>
        <v>2</v>
      </c>
      <c r="J52" s="55">
        <f t="shared" si="0"/>
        <v>4.7368421052631575</v>
      </c>
      <c r="K52" s="28"/>
      <c r="L52" s="56"/>
      <c r="M52" s="3"/>
      <c r="N52" s="3"/>
      <c r="O52" s="3"/>
      <c r="P52" s="3"/>
      <c r="Q52" s="3"/>
      <c r="R52" s="3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spans="1:30">
      <c r="A53" s="53">
        <v>9</v>
      </c>
      <c r="B53" s="54" t="s">
        <v>80</v>
      </c>
      <c r="C53" s="23">
        <f>COUNTIF(Data!D$2:D$300,"Інше (вкажіть)")</f>
        <v>1</v>
      </c>
      <c r="D53" s="53">
        <f>COUNTIFS(Data!$D$2:$D$500,"Інше (вкажіть)",Data!$M$2:$M$500,1)</f>
        <v>0</v>
      </c>
      <c r="E53" s="53">
        <f>COUNTIFS(Data!$D$2:$D$500,"Інше (вкажіть)",Data!$M$2:$M$500,2)</f>
        <v>0</v>
      </c>
      <c r="F53" s="53">
        <f>COUNTIFS(Data!$D$2:$D$500,"Інше (вкажіть)",Data!$M$2:$M$500,3)</f>
        <v>0</v>
      </c>
      <c r="G53" s="53">
        <f>COUNTIFS(Data!$D$2:$D$500,"Інше (вкажіть)",Data!$M$2:$M$500,4)</f>
        <v>0</v>
      </c>
      <c r="H53" s="53">
        <f>COUNTIFS(Data!$D$2:$D$500,"Інше (вкажіть)",Data!$M$2:$M$500,5)</f>
        <v>0</v>
      </c>
      <c r="I53" s="53">
        <f>COUNTIFS(Data!$D$2:$D$500,"Інше (вкажіть)",Data!$M$2:$M$500,9)</f>
        <v>1</v>
      </c>
      <c r="J53" s="55" t="e">
        <f t="shared" si="0"/>
        <v>#DIV/0!</v>
      </c>
      <c r="K53" s="28"/>
      <c r="L53" s="56"/>
      <c r="M53" s="3"/>
      <c r="N53" s="3"/>
      <c r="O53" s="3"/>
      <c r="P53" s="3"/>
      <c r="Q53" s="3"/>
      <c r="R53" s="3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</row>
    <row r="54" spans="1:30">
      <c r="A54" s="53">
        <v>10</v>
      </c>
      <c r="B54" s="54" t="s">
        <v>82</v>
      </c>
      <c r="C54" s="23">
        <f>COUNTIF(Data!F$2:F$300,"В населеному пункті, де розташований цей суд")</f>
        <v>20</v>
      </c>
      <c r="D54" s="53">
        <f>COUNTIFS(Data!$F$2:$F$500,"В населеному пункті, де розташований цей суд",Data!$M$2:$M$500,1)</f>
        <v>0</v>
      </c>
      <c r="E54" s="53">
        <f>COUNTIFS(Data!$F$2:$F$500,"В населеному пункті, де розташований цей суд",Data!$M$2:$M$500,2)</f>
        <v>0</v>
      </c>
      <c r="F54" s="53">
        <f>COUNTIFS(Data!$F$2:$F$500,"В населеному пункті, де розташований цей суд",Data!$M$2:$M$500,3)</f>
        <v>1</v>
      </c>
      <c r="G54" s="53">
        <f>COUNTIFS(Data!$F$2:$F$500,"В населеному пункті, де розташований цей суд",Data!$M$2:$M$500,4)</f>
        <v>4</v>
      </c>
      <c r="H54" s="53">
        <f>COUNTIFS(Data!$F$2:$F$500,"В населеному пункті, де розташований цей суд",Data!$M$2:$M$500,5)</f>
        <v>12</v>
      </c>
      <c r="I54" s="53">
        <f>COUNTIFS(Data!$F$2:$F$500,"В населеному пункті, де розташований цей суд",Data!$M$2:$M$500,9)</f>
        <v>3</v>
      </c>
      <c r="J54" s="55">
        <f t="shared" si="0"/>
        <v>4.6470588235294121</v>
      </c>
      <c r="K54" s="28"/>
      <c r="L54" s="56"/>
      <c r="M54" s="3"/>
      <c r="N54" s="3"/>
      <c r="O54" s="3"/>
      <c r="P54" s="3"/>
      <c r="Q54" s="3"/>
      <c r="R54" s="3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spans="1:30" ht="30.75">
      <c r="A55" s="53">
        <v>11</v>
      </c>
      <c r="B55" s="54" t="s">
        <v>84</v>
      </c>
      <c r="C55" s="23">
        <f>COUNTIF(Data!F$2:F$300,"В іншому населеному пункті")</f>
        <v>10</v>
      </c>
      <c r="D55" s="53">
        <f>COUNTIFS(Data!$F$2:$F$500,"В іншому населеному пункті",Data!$M$2:$M$500,1)</f>
        <v>0</v>
      </c>
      <c r="E55" s="53">
        <f>COUNTIFS(Data!$F$2:$F$500,"В іншому населеному пункті",Data!$M$2:$M$500,2)</f>
        <v>0</v>
      </c>
      <c r="F55" s="53">
        <f>COUNTIFS(Data!$F$2:$F$500,"В іншому населеному пункті",Data!$M$2:$M$500,3)</f>
        <v>1</v>
      </c>
      <c r="G55" s="53">
        <f>COUNTIFS(Data!$F$2:$F$500,"В іншому населеному пункті",Data!$M$2:$M$500,4)</f>
        <v>2</v>
      </c>
      <c r="H55" s="53">
        <f>COUNTIFS(Data!$F$2:$F$500,"В іншому населеному пункті",Data!$M$2:$M$500,5)</f>
        <v>7</v>
      </c>
      <c r="I55" s="53">
        <f>COUNTIFS(Data!$F$2:$F$500,"В іншому населеному пункті",Data!$M$2:$M$500,9)</f>
        <v>0</v>
      </c>
      <c r="J55" s="55">
        <f t="shared" si="0"/>
        <v>4.5999999999999996</v>
      </c>
      <c r="K55" s="28"/>
      <c r="L55" s="56"/>
      <c r="M55" s="3"/>
      <c r="N55" s="3"/>
      <c r="O55" s="3"/>
      <c r="P55" s="3"/>
      <c r="Q55" s="3"/>
      <c r="R55" s="3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30" ht="30.75">
      <c r="A56" s="53">
        <v>12</v>
      </c>
      <c r="B56" s="54" t="s">
        <v>86</v>
      </c>
      <c r="C56" s="23">
        <f>COUNTIF(Data!G$2:G$300,"Змушені економити на харчуванні")</f>
        <v>7</v>
      </c>
      <c r="D56" s="53">
        <f>COUNTIFS(Data!$G$2:$G$500,"Змушені економити на харчуванні",Data!$M$2:$M$500,1)</f>
        <v>0</v>
      </c>
      <c r="E56" s="53">
        <f>COUNTIFS(Data!$G$2:$G$500,"Змушені економити на харчуванні",Data!$M$2:$M$500,2)</f>
        <v>0</v>
      </c>
      <c r="F56" s="53">
        <f>COUNTIFS(Data!$G$2:$G$500,"Змушені економити на харчуванні",Data!$M$2:$M$500,3)</f>
        <v>1</v>
      </c>
      <c r="G56" s="53">
        <f>COUNTIFS(Data!$G$2:$G$500,"Змушені економити на харчуванні",Data!$M$2:$M$500,4)</f>
        <v>2</v>
      </c>
      <c r="H56" s="53">
        <f>COUNTIFS(Data!$G$2:$G$500,"Змушені економити на харчуванні",Data!$M$2:$M$500,5)</f>
        <v>2</v>
      </c>
      <c r="I56" s="53">
        <f>COUNTIFS(Data!$G$2:$G$500,"Змушені економити на харчуванні",Data!$M$2:$M$500,9)</f>
        <v>2</v>
      </c>
      <c r="J56" s="55">
        <f t="shared" si="0"/>
        <v>4.2</v>
      </c>
      <c r="K56" s="28"/>
      <c r="L56" s="56"/>
      <c r="M56" s="3"/>
      <c r="N56" s="3"/>
      <c r="O56" s="3"/>
      <c r="P56" s="3"/>
      <c r="Q56" s="3"/>
      <c r="R56" s="3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30" ht="60.75">
      <c r="A57" s="53">
        <v>13</v>
      </c>
      <c r="B57" s="54" t="s">
        <v>88</v>
      </c>
      <c r="C57" s="23">
        <f>COUNTIF(Data!G$2:G$300,"Вистачає на харчування та необхідний одяг, взуття. Для таких покупок як гарний  костюм, мобільний телефон, пилосос необхідно заощадити або позичити")</f>
        <v>5</v>
      </c>
      <c r="D57" s="53">
        <f>COUNTIFS(Data!$G$2:$G$500,"Вистачає на харчування та необхідний одяг, взуття. Для таких покупок як гарний  костюм, мобільний телефон, пилосос необхідно заощадити або позичити",Data!$M$2:$M$500,1)</f>
        <v>0</v>
      </c>
      <c r="E57" s="53">
        <f>COUNTIFS(Data!$G$2:$G$500,"Вистачає на харчування та необхідний одяг, взуття. Для таких покупок як гарний  костюм, мобільний телефон, пилосос необхідно заощадити або позичити",Data!$M$2:$M$500,2)</f>
        <v>0</v>
      </c>
      <c r="F57" s="53">
        <f>COUNTIFS(Data!$G$2:$G$500,"Вистачає на харчування та необхідний одяг, взуття. Для таких покупок як гарний  костюм, мобільний телефон, пилосос необхідно заощадити або позичити",Data!$M$2:$M$500,3)</f>
        <v>0</v>
      </c>
      <c r="G57" s="53">
        <f>COUNTIFS(Data!$G$2:$G$500,"Вистачає на харчування та необхідний одяг, взуття. Для таких покупок як гарний  костюм, мобільний телефон, пилосос необхідно заощадити або позичити",Data!$M$2:$M$500,4)</f>
        <v>2</v>
      </c>
      <c r="H57" s="53">
        <f>COUNTIFS(Data!$G$2:$G$500,"Вистачає на харчування та необхідний одяг, взуття. Для таких покупок як гарний  костюм, мобільний телефон, пилосос необхідно заощадити або позичити",Data!$M$2:$M$500,5)</f>
        <v>3</v>
      </c>
      <c r="I57" s="53">
        <f>COUNTIFS(Data!$G$2:$G$500,"Вистачає на харчування та необхідний одяг, взуття. Для таких покупок як гарний  костюм, мобільний телефон, пилосос необхідно заощадити або позичити",Data!$M$2:$M$500,9)</f>
        <v>0</v>
      </c>
      <c r="J57" s="55">
        <f t="shared" si="0"/>
        <v>4.5999999999999996</v>
      </c>
      <c r="K57" s="28"/>
      <c r="L57" s="56"/>
      <c r="M57" s="3"/>
      <c r="N57" s="3"/>
      <c r="O57" s="3"/>
      <c r="P57" s="3"/>
      <c r="Q57" s="3"/>
      <c r="R57" s="3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30" ht="75.75">
      <c r="A58" s="53">
        <v>14</v>
      </c>
      <c r="B58" s="54" t="s">
        <v>90</v>
      </c>
      <c r="C58" s="23">
        <f>COUNTIF(Data!G$2:G$300,"Вистачає на харчування, одяг, взуття, інші покупки. Але для придбання речей, які дорого коштують (таких як сучасний телевізор, холодильник, меблі) необхідно заощадити або позичити")</f>
        <v>11</v>
      </c>
      <c r="D58" s="53">
        <f>COUNTIFS(Data!$G$2:$G$500,"Вистачає на харчування, одяг, взуття, інші покупки. Але для придбання речей, які дорого коштують (таких як сучасний телевізор, холодильник, меблі) необхідно заощадити або позичити",Data!$M$2:$M$500,1)</f>
        <v>0</v>
      </c>
      <c r="E58" s="53">
        <f>COUNTIFS(Data!$G$2:$G$500,"Вистачає на харчування, одяг, взуття, інші покупки. Але для придбання речей, які дорого коштують (таких як сучасний телевізор, холодильник, меблі) необхідно заощадити або позичити",Data!$M$2:$M$500,2)</f>
        <v>0</v>
      </c>
      <c r="F58" s="53">
        <f>COUNTIFS(Data!$G$2:$G$500,"Вистачає на харчування, одяг, взуття, інші покупки. Але для придбання речей, які дорого коштують (таких як сучасний телевізор, холодильник, меблі) необхідно заощадити або позичити",Data!$M$2:$M$500,3)</f>
        <v>1</v>
      </c>
      <c r="G58" s="53">
        <f>COUNTIFS(Data!$G$2:$G$500,"Вистачає на харчування, одяг, взуття, інші покупки. Але для придбання речей, які дорого коштують (таких як сучасний телевізор, холодильник, меблі) необхідно заощадити або позичити",Data!$M$2:$M$500,4)</f>
        <v>1</v>
      </c>
      <c r="H58" s="53">
        <f>COUNTIFS(Data!$G$2:$G$500,"Вистачає на харчування, одяг, взуття, інші покупки. Але для придбання речей, які дорого коштують (таких як сучасний телевізор, холодильник, меблі) необхідно заощадити або позичити",Data!$M$2:$M$500,5)</f>
        <v>8</v>
      </c>
      <c r="I58" s="53">
        <f>COUNTIFS(Data!$G$2:$G$500,"Вистачає на харчування, одяг, взуття, інші покупки. Але для придбання речей, які дорого коштують (таких як сучасний телевізор, холодильник, меблі) необхідно заощадити або позичити",Data!$M$2:$M$500,9)</f>
        <v>1</v>
      </c>
      <c r="J58" s="55">
        <f t="shared" si="0"/>
        <v>4.7</v>
      </c>
      <c r="K58" s="28"/>
      <c r="L58" s="56"/>
      <c r="M58" s="3"/>
      <c r="N58" s="3"/>
      <c r="O58" s="3"/>
      <c r="P58" s="3"/>
      <c r="Q58" s="3"/>
      <c r="R58" s="3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30" ht="60.75">
      <c r="A59" s="53">
        <v>15</v>
      </c>
      <c r="B59" s="54" t="s">
        <v>93</v>
      </c>
      <c r="C59" s="23">
        <f>COUNTIF(Data!G$2:G$300,"Вистачає на харчування, одяг, взуття, дорогі покупки. Для таких покупок як машина, квартира необхідно заощадити або позичити")</f>
        <v>6</v>
      </c>
      <c r="D59" s="53">
        <f>COUNTIFS(Data!$G$2:$G$500,"Вистачає на харчування, одяг, взуття, дорогі покупки. Для таких покупок як машина, квартира необхідно заощадити або позичити",Data!$M$2:$M$500,1)</f>
        <v>0</v>
      </c>
      <c r="E59" s="53">
        <f>COUNTIFS(Data!$G$2:$G$500,"Вистачає на харчування, одяг, взуття, дорогі покупки. Для таких покупок як машина, квартира необхідно заощадити або позичити",Data!$M$2:$M$500,2)</f>
        <v>0</v>
      </c>
      <c r="F59" s="53">
        <f>COUNTIFS(Data!$G$2:$G$500,"Вистачає на харчування, одяг, взуття, дорогі покупки. Для таких покупок як машина, квартира необхідно заощадити або позичити",Data!$M$2:$M$500,3)</f>
        <v>0</v>
      </c>
      <c r="G59" s="53">
        <f>COUNTIFS(Data!$G$2:$G$500,"Вистачає на харчування, одяг, взуття, дорогі покупки. Для таких покупок як машина, квартира необхідно заощадити або позичити",Data!$M$2:$M$500,4)</f>
        <v>0</v>
      </c>
      <c r="H59" s="53">
        <f>COUNTIFS(Data!$G$2:$G$500,"Вистачає на харчування, одяг, взуття, дорогі покупки. Для таких покупок як машина, квартира необхідно заощадити або позичити",Data!$M$2:$M$500,5)</f>
        <v>6</v>
      </c>
      <c r="I59" s="53">
        <f>COUNTIFS(Data!$G$2:$G$500,"Вистачає на харчування, одяг, взуття, дорогі покупки. Для таких покупок як машина, квартира необхідно заощадити або позичити",Data!$M$2:$M$500,9)</f>
        <v>0</v>
      </c>
      <c r="J59" s="55">
        <f t="shared" si="0"/>
        <v>5</v>
      </c>
      <c r="K59" s="28"/>
      <c r="L59" s="56"/>
      <c r="M59" s="3"/>
      <c r="N59" s="3"/>
      <c r="O59" s="3"/>
      <c r="P59" s="3"/>
      <c r="Q59" s="3"/>
      <c r="R59" s="3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30" ht="30.75">
      <c r="A60" s="53">
        <v>16</v>
      </c>
      <c r="B60" s="54" t="s">
        <v>95</v>
      </c>
      <c r="C60" s="23">
        <f>COUNTIF(Data!G$2:G$300,"Будь-які необхідні покупки можу зробити в будь-який час")</f>
        <v>0</v>
      </c>
      <c r="D60" s="53">
        <f>COUNTIFS(Data!$G$2:$G$500,"Будь-які необхідні покупки можу зробити в будь-який час",Data!$M$2:$M$500,1)</f>
        <v>0</v>
      </c>
      <c r="E60" s="53">
        <f>COUNTIFS(Data!$G$2:$G$500,"Будь-які необхідні покупки можу зробити в будь-який час",Data!$M$2:$M$500,2)</f>
        <v>0</v>
      </c>
      <c r="F60" s="53">
        <f>COUNTIFS(Data!$G$2:$G$500,"Будь-які необхідні покупки можу зробити в будь-який час",Data!$M$2:$M$500,3)</f>
        <v>0</v>
      </c>
      <c r="G60" s="53">
        <f>COUNTIFS(Data!$G$2:$G$500,"Будь-які необхідні покупки можу зробити в будь-який час",Data!$M$2:$M$500,4)</f>
        <v>0</v>
      </c>
      <c r="H60" s="53">
        <f>COUNTIFS(Data!$G$2:$G$500,"Будь-які необхідні покупки можу зробити в будь-який час",Data!$M$2:$M$500,5)</f>
        <v>0</v>
      </c>
      <c r="I60" s="53">
        <f>COUNTIFS(Data!$G$2:$G$500,"Будь-які необхідні покупки можу зробити в будь-який час",Data!$M$2:$M$500,9)</f>
        <v>0</v>
      </c>
      <c r="J60" s="55" t="e">
        <f t="shared" si="0"/>
        <v>#DIV/0!</v>
      </c>
      <c r="K60" s="28"/>
      <c r="L60" s="56"/>
      <c r="M60" s="3"/>
      <c r="N60" s="3"/>
      <c r="O60" s="3"/>
      <c r="P60" s="3"/>
      <c r="Q60" s="3"/>
      <c r="R60" s="3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30" ht="30.75">
      <c r="A61" s="53">
        <v>17</v>
      </c>
      <c r="B61" s="54" t="s">
        <v>97</v>
      </c>
      <c r="C61" s="23">
        <f>COUNTIF(Data!G$2:G$300,"КН (код невідповіді)")</f>
        <v>1</v>
      </c>
      <c r="D61" s="53">
        <f>COUNTIFS(Data!$G$2:$G$500,"КН (код невідповіді)",Data!$M$2:$M$500,1)</f>
        <v>0</v>
      </c>
      <c r="E61" s="53">
        <f>COUNTIFS(Data!$G$2:$G$500,"КН (код невідповіді)",Data!$M$2:$M$500,2)</f>
        <v>0</v>
      </c>
      <c r="F61" s="53">
        <f>COUNTIFS(Data!$G$2:$G$500,"КН (код невідповіді)",Data!$M$2:$M$500,3)</f>
        <v>0</v>
      </c>
      <c r="G61" s="53">
        <f>COUNTIFS(Data!$G$2:$G$500,"КН (код невідповіді)",Data!$M$2:$M$500,4)</f>
        <v>1</v>
      </c>
      <c r="H61" s="53">
        <f>COUNTIFS(Data!$G$2:$G$500,"КН (код невідповіді)",Data!$M$2:$M$500,5)</f>
        <v>0</v>
      </c>
      <c r="I61" s="53">
        <f>COUNTIFS(Data!$G$2:$G$500,"КН (код невідповіді)",Data!$M$2:$M$500,9)</f>
        <v>0</v>
      </c>
      <c r="J61" s="55">
        <f t="shared" si="0"/>
        <v>4</v>
      </c>
      <c r="K61" s="28"/>
      <c r="L61" s="56"/>
      <c r="M61" s="3"/>
      <c r="N61" s="3"/>
      <c r="O61" s="3"/>
      <c r="P61" s="3"/>
      <c r="Q61" s="3"/>
      <c r="R61" s="3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30" ht="30.75">
      <c r="A62" s="53">
        <v>18</v>
      </c>
      <c r="B62" s="54" t="s">
        <v>99</v>
      </c>
      <c r="C62" s="23">
        <f>COUNTIF(Data!H$2:H$300,"Є учасником судових проваджень і представляєте особисто себе")</f>
        <v>9</v>
      </c>
      <c r="D62" s="53">
        <f>COUNTIFS(Data!$H$2:$H$500,"Є учасником судових проваджень і представляєте особисто себе",Data!$M$2:$M$500,1)</f>
        <v>0</v>
      </c>
      <c r="E62" s="53">
        <f>COUNTIFS(Data!$H$2:$H$500,"Є учасником судових проваджень і представляєте особисто себе",Data!$M$2:$M$500,2)</f>
        <v>0</v>
      </c>
      <c r="F62" s="53">
        <f>COUNTIFS(Data!$H$2:$H$500,"Є учасником судових проваджень і представляєте особисто себе",Data!$M$2:$M$500,3)</f>
        <v>2</v>
      </c>
      <c r="G62" s="53">
        <f>COUNTIFS(Data!$H$2:$H$500,"Є учасником судових проваджень і представляєте особисто себе",Data!$M$2:$M$500,4)</f>
        <v>1</v>
      </c>
      <c r="H62" s="53">
        <f>COUNTIFS(Data!$H$2:$H$500,"Є учасником судових проваджень і представляєте особисто себе",Data!$M$2:$M$500,5)</f>
        <v>5</v>
      </c>
      <c r="I62" s="53">
        <f>COUNTIFS(Data!$H$2:$H$500,"Є учасником судових проваджень і представляєте особисто себе",Data!$M$2:$M$500,9)</f>
        <v>1</v>
      </c>
      <c r="J62" s="55">
        <f t="shared" si="0"/>
        <v>4.375</v>
      </c>
      <c r="K62" s="28"/>
      <c r="L62" s="56"/>
      <c r="M62" s="3"/>
      <c r="N62" s="3"/>
      <c r="O62" s="3"/>
      <c r="P62" s="3"/>
      <c r="Q62" s="3"/>
      <c r="R62" s="3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30" ht="75.75">
      <c r="A63" s="53">
        <v>19</v>
      </c>
      <c r="B63" s="54" t="s">
        <v>100</v>
      </c>
      <c r="C63" s="23">
        <f>COUNTIF(Data!H$2:H$300,"Є учасником судових проваджень, але представляєте іншу фізичну чи юридичну особу (є адвокатом, представником прокуратури, юрист-консультантом)")</f>
        <v>9</v>
      </c>
      <c r="D63" s="53">
        <f>COUNTIFS(Data!$H$2:$H$500,"Є учасником судових проваджень, але представляєте іншу фізичну чи юридичну особу (є адвокатом, представником прокуратури, юрист-консультантом)",Data!$M$2:$M$500,1)</f>
        <v>0</v>
      </c>
      <c r="E63" s="53">
        <f>COUNTIFS(Data!$H$2:$H$500,"Є учасником судових проваджень, але представляєте іншу фізичну чи юридичну особу (є адвокатом, представником прокуратури, юрист-консультантом)",Data!$M$2:$M$500,2)</f>
        <v>0</v>
      </c>
      <c r="F63" s="53">
        <f>COUNTIFS(Data!$H$2:$H$500,"Є учасником судових проваджень, але представляєте іншу фізичну чи юридичну особу (є адвокатом, представником прокуратури, юрист-консультантом)",Data!$M$2:$M$500,3)</f>
        <v>0</v>
      </c>
      <c r="G63" s="53">
        <f>COUNTIFS(Data!$H$2:$H$500,"Є учасником судових проваджень, але представляєте іншу фізичну чи юридичну особу (є адвокатом, представником прокуратури, юрист-консультантом)",Data!$M$2:$M$500,4)</f>
        <v>0</v>
      </c>
      <c r="H63" s="53">
        <f>COUNTIFS(Data!$H$2:$H$500,"Є учасником судових проваджень, але представляєте іншу фізичну чи юридичну особу (є адвокатом, представником прокуратури, юрист-консультантом)",Data!$M$2:$M$500,5)</f>
        <v>9</v>
      </c>
      <c r="I63" s="53">
        <f>COUNTIFS(Data!$H$2:$H$500,"Є учасником судових проваджень, але представляєте іншу фізичну чи юридичну особу (є адвокатом, представником прокуратури, юрист-консультантом)",Data!$M$2:$M$500,9)</f>
        <v>0</v>
      </c>
      <c r="J63" s="55">
        <f t="shared" si="0"/>
        <v>5</v>
      </c>
      <c r="K63" s="28"/>
      <c r="L63" s="56"/>
      <c r="M63" s="3"/>
      <c r="N63" s="3"/>
      <c r="O63" s="3"/>
      <c r="P63" s="3"/>
      <c r="Q63" s="3"/>
      <c r="R63" s="3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30" ht="30.75">
      <c r="A64" s="53">
        <v>20</v>
      </c>
      <c r="B64" s="54" t="s">
        <v>102</v>
      </c>
      <c r="C64" s="23">
        <f>COUNTIF(Data!H$2:H$300,"Не є учасником судових проваджень")</f>
        <v>10</v>
      </c>
      <c r="D64" s="53">
        <f>COUNTIFS(Data!$H$2:$H$500,"Не є учасником судових проваджень",Data!$M$2:$M$500,1)</f>
        <v>0</v>
      </c>
      <c r="E64" s="53">
        <f>COUNTIFS(Data!$H$2:$H$500,"Не є учасником судових проваджень",Data!$M$2:$M$500,2)</f>
        <v>0</v>
      </c>
      <c r="F64" s="53">
        <f>COUNTIFS(Data!$H$2:$H$500,"Не є учасником судових проваджень",Data!$M$2:$M$500,3)</f>
        <v>0</v>
      </c>
      <c r="G64" s="53">
        <f>COUNTIFS(Data!$H$2:$H$500,"Не є учасником судових проваджень",Data!$M$2:$M$500,4)</f>
        <v>5</v>
      </c>
      <c r="H64" s="53">
        <f>COUNTIFS(Data!$H$2:$H$500,"Не є учасником судових проваджень",Data!$M$2:$M$500,5)</f>
        <v>4</v>
      </c>
      <c r="I64" s="53">
        <f>COUNTIFS(Data!$H$2:$H$500,"Не є учасником судових проваджень",Data!$M$2:$M$500,9)</f>
        <v>1</v>
      </c>
      <c r="J64" s="55">
        <f t="shared" si="0"/>
        <v>4.4444444444444446</v>
      </c>
      <c r="K64" s="28"/>
      <c r="L64" s="56"/>
      <c r="M64" s="3"/>
      <c r="N64" s="3"/>
      <c r="O64" s="3"/>
      <c r="P64" s="3"/>
      <c r="Q64" s="3"/>
      <c r="R64" s="3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>
      <c r="A65" s="53">
        <v>21</v>
      </c>
      <c r="B65" s="54" t="s">
        <v>104</v>
      </c>
      <c r="C65" s="23">
        <f>COUNTIF(Data!H$2:H$300,"Інше")</f>
        <v>2</v>
      </c>
      <c r="D65" s="53">
        <f>COUNTIFS(Data!$H$2:$H$500,"Інше",Data!$M$2:$M$500,1)</f>
        <v>0</v>
      </c>
      <c r="E65" s="53">
        <f>COUNTIFS(Data!$H$2:$H$500,"Інше",Data!$M$2:$M$500,2)</f>
        <v>0</v>
      </c>
      <c r="F65" s="53">
        <f>COUNTIFS(Data!$H$2:$H$500,"Інше",Data!$M$2:$M$500,3)</f>
        <v>0</v>
      </c>
      <c r="G65" s="53">
        <f>COUNTIFS(Data!$H$2:$H$500,"Інше",Data!$M$2:$M$500,4)</f>
        <v>0</v>
      </c>
      <c r="H65" s="53">
        <f>COUNTIFS(Data!$H$2:$H$500,"Інше",Data!$M$2:$M$500,5)</f>
        <v>1</v>
      </c>
      <c r="I65" s="53">
        <f>COUNTIFS(Data!$H$2:$H$500,"Інше",Data!$M$2:$M$500,9)</f>
        <v>1</v>
      </c>
      <c r="J65" s="55">
        <f t="shared" si="0"/>
        <v>5</v>
      </c>
      <c r="K65" s="28"/>
      <c r="L65" s="56"/>
      <c r="M65" s="3"/>
      <c r="N65" s="3"/>
      <c r="O65" s="3"/>
      <c r="P65" s="3"/>
      <c r="Q65" s="3"/>
      <c r="R65" s="3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ht="30.75">
      <c r="A66" s="53">
        <v>22</v>
      </c>
      <c r="B66" s="54" t="s">
        <v>106</v>
      </c>
      <c r="C66" s="23">
        <f>COUNTIF(Data!I$2:I$300,"Цивільний процес")</f>
        <v>15</v>
      </c>
      <c r="D66" s="53">
        <f>COUNTIFS(Data!$I$2:$I$500,"Цивільний процес",Data!$M$2:$M$500,1)</f>
        <v>0</v>
      </c>
      <c r="E66" s="53">
        <f>COUNTIFS(Data!$I$2:$I$500,"Цивільний процес",Data!$M$2:$M$500,2)</f>
        <v>0</v>
      </c>
      <c r="F66" s="53">
        <f>COUNTIFS(Data!$I$2:$I$500,"Цивільний процес",Data!$M$2:$M$500,3)</f>
        <v>1</v>
      </c>
      <c r="G66" s="53">
        <f>COUNTIFS(Data!$I$2:$I$500,"Цивільний процес",Data!$M$2:$M$500,4)</f>
        <v>1</v>
      </c>
      <c r="H66" s="53">
        <f>COUNTIFS(Data!$I$2:$I$500,"Цивільний процес",Data!$M$2:$M$500,5)</f>
        <v>12</v>
      </c>
      <c r="I66" s="53">
        <f>COUNTIFS(Data!$I$2:$I$500,"Цивільний процес",Data!$M$2:$M$500,9)</f>
        <v>1</v>
      </c>
      <c r="J66" s="55">
        <f t="shared" si="0"/>
        <v>4.7857142857142856</v>
      </c>
      <c r="K66" s="28"/>
      <c r="L66" s="56"/>
      <c r="M66" s="3"/>
      <c r="N66" s="3"/>
      <c r="O66" s="3"/>
      <c r="P66" s="3"/>
      <c r="Q66" s="3"/>
      <c r="R66" s="3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:30" ht="30.75">
      <c r="A67" s="53">
        <v>23</v>
      </c>
      <c r="B67" s="54" t="s">
        <v>108</v>
      </c>
      <c r="C67" s="23">
        <f>COUNTIF(Data!I$2:I$300,"Кримінальний процес")</f>
        <v>6</v>
      </c>
      <c r="D67" s="53">
        <f>COUNTIFS(Data!$I$2:$I$500,"Кримінальний процес",Data!$M$2:$M$500,1)</f>
        <v>0</v>
      </c>
      <c r="E67" s="53">
        <f>COUNTIFS(Data!$I$2:$I$500,"Кримінальний процес",Data!$M$2:$M$500,2)</f>
        <v>0</v>
      </c>
      <c r="F67" s="53">
        <f>COUNTIFS(Data!$I$2:$I$500,"Кримінальний процес",Data!$M$2:$M$500,3)</f>
        <v>0</v>
      </c>
      <c r="G67" s="53">
        <f>COUNTIFS(Data!$I$2:$I$500,"Кримінальний процес",Data!$M$2:$M$500,4)</f>
        <v>1</v>
      </c>
      <c r="H67" s="53">
        <f>COUNTIFS(Data!$I$2:$I$500,"Кримінальний процес",Data!$M$2:$M$500,5)</f>
        <v>5</v>
      </c>
      <c r="I67" s="53">
        <f>COUNTIFS(Data!$I$2:$I$500,"Кримінальний процес",Data!$M$2:$M$500,9)</f>
        <v>0</v>
      </c>
      <c r="J67" s="55">
        <f t="shared" si="0"/>
        <v>4.833333333333333</v>
      </c>
      <c r="K67" s="28"/>
      <c r="L67" s="56"/>
      <c r="M67" s="3"/>
      <c r="N67" s="3"/>
      <c r="O67" s="3"/>
      <c r="P67" s="3"/>
      <c r="Q67" s="3"/>
      <c r="R67" s="3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spans="1:30" ht="30.75">
      <c r="A68" s="53">
        <v>24</v>
      </c>
      <c r="B68" s="54" t="s">
        <v>110</v>
      </c>
      <c r="C68" s="23">
        <f>COUNTIF(Data!I$2:I$300,"Адміністративний процес")</f>
        <v>5</v>
      </c>
      <c r="D68" s="53">
        <f>COUNTIFS(Data!$I$2:$I$500,"Адміністративний процес",Data!$M$2:$M$500,1)</f>
        <v>0</v>
      </c>
      <c r="E68" s="53">
        <f>COUNTIFS(Data!$I$2:$I$500,"Адміністративний процес",Data!$M$2:$M$500,2)</f>
        <v>0</v>
      </c>
      <c r="F68" s="53">
        <f>COUNTIFS(Data!$I$2:$I$500,"Адміністративний процес",Data!$M$2:$M$500,3)</f>
        <v>1</v>
      </c>
      <c r="G68" s="53">
        <f>COUNTIFS(Data!$I$2:$I$500,"Адміністративний процес",Data!$M$2:$M$500,4)</f>
        <v>3</v>
      </c>
      <c r="H68" s="53">
        <f>COUNTIFS(Data!$I$2:$I$500,"Адміністративний процес",Data!$M$2:$M$500,5)</f>
        <v>1</v>
      </c>
      <c r="I68" s="53">
        <f>COUNTIFS(Data!$I$2:$I$500,"Адміністративний процес",Data!$M$2:$M$500,9)</f>
        <v>0</v>
      </c>
      <c r="J68" s="55">
        <f t="shared" si="0"/>
        <v>4</v>
      </c>
      <c r="K68" s="28"/>
      <c r="L68" s="56"/>
      <c r="M68" s="3"/>
      <c r="N68" s="3"/>
      <c r="O68" s="3"/>
      <c r="P68" s="3"/>
      <c r="Q68" s="3"/>
      <c r="R68" s="3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pans="1:30" ht="30.75">
      <c r="A69" s="53">
        <v>25</v>
      </c>
      <c r="B69" s="54" t="s">
        <v>112</v>
      </c>
      <c r="C69" s="23">
        <f>COUNTIF(Data!I$2:I$300,"Господарський процес")</f>
        <v>0</v>
      </c>
      <c r="D69" s="53">
        <f>COUNTIFS(Data!$I$2:$I$500,"Господарський процес",Data!$M$2:$M$500,1)</f>
        <v>0</v>
      </c>
      <c r="E69" s="53">
        <f>COUNTIFS(Data!$I$2:$I$500,"Господарський процес",Data!$M$2:$M$500,2)</f>
        <v>0</v>
      </c>
      <c r="F69" s="53">
        <f>COUNTIFS(Data!$I$2:$I$500,"Господарський процес",Data!$M$2:$M$500,3)</f>
        <v>0</v>
      </c>
      <c r="G69" s="53">
        <f>COUNTIFS(Data!$I$2:$I$500,"Господарський процес",Data!$M$2:$M$500,4)</f>
        <v>0</v>
      </c>
      <c r="H69" s="53">
        <f>COUNTIFS(Data!$I$2:$I$500,"Господарський процес",Data!$M$2:$M$500,5)</f>
        <v>0</v>
      </c>
      <c r="I69" s="53">
        <f>COUNTIFS(Data!$I$2:$I$500,"Господарський процес",Data!$M$2:$M$500,9)</f>
        <v>0</v>
      </c>
      <c r="J69" s="55" t="e">
        <f t="shared" si="0"/>
        <v>#DIV/0!</v>
      </c>
      <c r="K69" s="28"/>
      <c r="L69" s="56"/>
      <c r="M69" s="3"/>
      <c r="N69" s="3"/>
      <c r="O69" s="3"/>
      <c r="P69" s="3"/>
      <c r="Q69" s="3"/>
      <c r="R69" s="3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1:30" ht="30.75">
      <c r="A70" s="53">
        <v>26</v>
      </c>
      <c r="B70" s="54" t="s">
        <v>114</v>
      </c>
      <c r="C70" s="23">
        <f>COUNTIF(Data!I$2:I$300,"Справа про адміністративні  правопорушення")</f>
        <v>0</v>
      </c>
      <c r="D70" s="53">
        <f>COUNTIFS(Data!$I$2:$I$500,"Справа про адміністративні  правопорушення",Data!$M$2:$M$500,1)</f>
        <v>0</v>
      </c>
      <c r="E70" s="53">
        <f>COUNTIFS(Data!$I$2:$I$500,"Справа про адміністративні  правопорушення",Data!$M$2:$M$500,2)</f>
        <v>0</v>
      </c>
      <c r="F70" s="53">
        <f>COUNTIFS(Data!$I$2:$I$500,"Справа про адміністративні  правопорушення",Data!$M$2:$M$500,3)</f>
        <v>0</v>
      </c>
      <c r="G70" s="53">
        <f>COUNTIFS(Data!$I$2:$I$500,"Справа про адміністративні  правопорушення",Data!$M$2:$M$500,4)</f>
        <v>0</v>
      </c>
      <c r="H70" s="53">
        <f>COUNTIFS(Data!$I$2:$I$500,"Справа про адміністративні  правопорушення",Data!$M$2:$M$500,5)</f>
        <v>0</v>
      </c>
      <c r="I70" s="53">
        <f>COUNTIFS(Data!$I$2:$I$500,"Справа про адміністративні  правопорушення",Data!$M$2:$M$500,9)</f>
        <v>0</v>
      </c>
      <c r="J70" s="55" t="e">
        <f t="shared" si="0"/>
        <v>#DIV/0!</v>
      </c>
      <c r="K70" s="28"/>
      <c r="L70" s="56"/>
      <c r="M70" s="3"/>
      <c r="N70" s="3"/>
      <c r="O70" s="3"/>
      <c r="P70" s="3"/>
      <c r="Q70" s="3"/>
      <c r="R70" s="3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1:30">
      <c r="A71" s="35"/>
      <c r="B71" s="35" t="s">
        <v>69</v>
      </c>
      <c r="C71" s="50">
        <f>COUNT(Data!$A$2:$A$500)</f>
        <v>30</v>
      </c>
      <c r="D71" s="65">
        <f>COUNTIF(Data!$M$2:$M$500,1)</f>
        <v>0</v>
      </c>
      <c r="E71" s="65">
        <f>COUNTIF(Data!$M$2:$M$500,2)</f>
        <v>0</v>
      </c>
      <c r="F71" s="65">
        <f>COUNTIF(Data!$M$2:$M$500,3)</f>
        <v>2</v>
      </c>
      <c r="G71" s="65">
        <f>COUNTIF(Data!$M$2:$M$500,4)</f>
        <v>6</v>
      </c>
      <c r="H71" s="65">
        <f>COUNTIF(Data!$M$2:$M$500,5)</f>
        <v>19</v>
      </c>
      <c r="I71" s="65">
        <f>COUNTIF(Data!$M$2:$M$500,9)</f>
        <v>3</v>
      </c>
      <c r="J71" s="55">
        <f t="shared" si="0"/>
        <v>4.6296296296296298</v>
      </c>
      <c r="K71" s="28"/>
      <c r="M71" s="3"/>
      <c r="N71" s="3"/>
      <c r="O71" s="3"/>
      <c r="P71" s="3"/>
      <c r="Q71" s="3"/>
      <c r="R71" s="3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</row>
    <row r="72" spans="1:30">
      <c r="A72" s="66"/>
      <c r="B72" s="66"/>
      <c r="C72" s="66"/>
      <c r="D72" s="66"/>
      <c r="E72" s="66"/>
      <c r="F72" s="66"/>
      <c r="G72" s="1"/>
      <c r="H72" s="1"/>
      <c r="I72" s="1"/>
      <c r="J72" s="1"/>
      <c r="K72" s="28"/>
      <c r="M72" s="3"/>
      <c r="N72" s="3"/>
      <c r="O72" s="3"/>
      <c r="P72" s="3"/>
      <c r="Q72" s="3"/>
      <c r="R72" s="3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</row>
    <row r="73" spans="1:30">
      <c r="A73" s="66"/>
      <c r="B73" s="66"/>
      <c r="C73" s="66"/>
      <c r="D73" s="66"/>
      <c r="E73" s="66"/>
      <c r="F73" s="66"/>
      <c r="G73" s="1"/>
      <c r="H73" s="1"/>
      <c r="I73" s="1"/>
      <c r="J73" s="1"/>
      <c r="K73" s="28"/>
      <c r="M73" s="3"/>
      <c r="N73" s="3"/>
      <c r="O73" s="3"/>
      <c r="P73" s="3"/>
      <c r="Q73" s="3"/>
      <c r="R73" s="3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</row>
    <row r="74" spans="1:30" ht="18.75">
      <c r="B74" s="67" t="s">
        <v>116</v>
      </c>
      <c r="C74" s="68"/>
      <c r="D74" s="68"/>
      <c r="E74" s="68"/>
      <c r="F74" s="68"/>
      <c r="G74" s="69"/>
      <c r="H74" s="69"/>
      <c r="I74" s="69"/>
      <c r="J74" s="70">
        <f>AVERAGE(J88,J99,J113,J124,J133,J143)</f>
        <v>4.4593181985126877</v>
      </c>
      <c r="K74" s="28"/>
      <c r="M74" s="3"/>
      <c r="N74" s="3"/>
      <c r="O74" s="3"/>
      <c r="P74" s="3"/>
      <c r="Q74" s="3"/>
      <c r="R74" s="3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</row>
    <row r="75" spans="1:30" ht="18">
      <c r="B75" s="71"/>
      <c r="C75" s="66"/>
      <c r="D75" s="66"/>
      <c r="E75" s="66"/>
      <c r="F75" s="66"/>
      <c r="G75" s="1"/>
      <c r="H75" s="1"/>
      <c r="I75" s="1"/>
      <c r="J75" s="1"/>
      <c r="K75" s="28"/>
      <c r="M75" s="3"/>
      <c r="N75" s="3"/>
      <c r="O75" s="3"/>
      <c r="P75" s="3"/>
      <c r="Q75" s="3"/>
      <c r="R75" s="3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 spans="1:30" ht="18">
      <c r="B76" s="71"/>
      <c r="C76" s="66"/>
      <c r="D76" s="66"/>
      <c r="E76" s="66"/>
      <c r="F76" s="66"/>
      <c r="G76" s="1"/>
      <c r="H76" s="1"/>
      <c r="I76" s="1"/>
      <c r="J76" s="1"/>
      <c r="K76" s="28"/>
      <c r="M76" s="3"/>
      <c r="N76" s="3"/>
      <c r="O76" s="3"/>
      <c r="P76" s="3"/>
      <c r="Q76" s="3"/>
      <c r="R76" s="3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</row>
    <row r="77" spans="1:30" ht="18">
      <c r="B77" s="71" t="s">
        <v>118</v>
      </c>
      <c r="C77" s="66"/>
      <c r="D77" s="66"/>
      <c r="E77" s="66"/>
      <c r="F77" s="66"/>
      <c r="G77" s="1"/>
      <c r="H77" s="1"/>
      <c r="I77" s="1"/>
      <c r="J77" s="1"/>
      <c r="K77" s="28"/>
      <c r="M77" s="3"/>
      <c r="N77" s="3"/>
      <c r="O77" s="3"/>
      <c r="P77" s="3"/>
      <c r="Q77" s="3"/>
      <c r="R77" s="3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</row>
    <row r="78" spans="1:30" ht="31.5">
      <c r="A78" s="72" t="s">
        <v>61</v>
      </c>
      <c r="B78" s="140" t="s">
        <v>119</v>
      </c>
      <c r="C78" s="134"/>
      <c r="D78" s="134"/>
      <c r="E78" s="134"/>
      <c r="F78" s="135"/>
      <c r="G78" s="140" t="s">
        <v>120</v>
      </c>
      <c r="H78" s="134"/>
      <c r="I78" s="135"/>
      <c r="J78" s="73" t="s">
        <v>121</v>
      </c>
      <c r="K78" s="74"/>
      <c r="L78" s="74"/>
      <c r="M78" s="3"/>
      <c r="N78" s="3"/>
      <c r="O78" s="3"/>
      <c r="P78" s="3"/>
      <c r="Q78" s="3"/>
      <c r="R78" s="3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</row>
    <row r="79" spans="1:30">
      <c r="A79" s="75">
        <v>1</v>
      </c>
      <c r="B79" s="144" t="s">
        <v>122</v>
      </c>
      <c r="C79" s="134"/>
      <c r="D79" s="134"/>
      <c r="E79" s="134"/>
      <c r="F79" s="135"/>
      <c r="G79" s="136" t="s">
        <v>124</v>
      </c>
      <c r="H79" s="134"/>
      <c r="I79" s="135"/>
      <c r="J79" s="77">
        <f>((COUNTIF(Data!$P$2:$P$500,1)*1)+(COUNTIF(Data!$P$2:$P$500,2)*2)+(COUNTIF(Data!$P$2:$P$500,3)*3)+(COUNTIF(Data!$P$2:$P$500,4)*4)+(COUNTIF(Data!$P$2:$P$500,5)*5))/(COUNTIF(Data!$P$2:$P$500,1)+COUNTIF(Data!$P$2:$P$500,2)+COUNTIF(Data!$P$2:$P$500,3)+COUNTIF(Data!$P$2:$P$500,4)+COUNTIF(Data!$P$2:$P$500,5))</f>
        <v>4.8275862068965516</v>
      </c>
      <c r="K79" s="28"/>
      <c r="M79" s="3"/>
      <c r="N79" s="3"/>
      <c r="O79" s="3"/>
      <c r="P79" s="3"/>
      <c r="Q79" s="3"/>
      <c r="R79" s="3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</row>
    <row r="80" spans="1:30">
      <c r="A80" s="78">
        <v>2</v>
      </c>
      <c r="B80" s="144" t="s">
        <v>126</v>
      </c>
      <c r="C80" s="134"/>
      <c r="D80" s="134"/>
      <c r="E80" s="134"/>
      <c r="F80" s="135"/>
      <c r="G80" s="136" t="s">
        <v>124</v>
      </c>
      <c r="H80" s="134"/>
      <c r="I80" s="135"/>
      <c r="J80" s="77">
        <f>((COUNTIF(Data!$Q$2:$Q$500,1)*1)+(COUNTIF(Data!$Q$2:$Q$500,2)*2)+(COUNTIF(Data!$Q$2:$Q$500,3)*3)+(COUNTIF(Data!$Q$2:$Q$500,4)*4)+(COUNTIF(Data!$Q$2:$Q$500,5)*5))/(COUNTIF(Data!$Q$2:$Q$500,1)+COUNTIF(Data!$Q$2:$Q$500,2)+COUNTIF(Data!$Q$2:$Q$500,3)+COUNTIF(Data!$Q$2:$Q$500,4)+COUNTIF(Data!$Q$2:$Q$500,5))</f>
        <v>4.6956521739130439</v>
      </c>
      <c r="K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</row>
    <row r="81" spans="1:30">
      <c r="A81" s="75">
        <v>3</v>
      </c>
      <c r="B81" s="144" t="s">
        <v>128</v>
      </c>
      <c r="C81" s="134"/>
      <c r="D81" s="134"/>
      <c r="E81" s="134"/>
      <c r="F81" s="135"/>
      <c r="G81" s="136" t="s">
        <v>124</v>
      </c>
      <c r="H81" s="134"/>
      <c r="I81" s="135"/>
      <c r="J81" s="77">
        <f>((COUNTIF(Data!$R$2:$R$500,1)*1)+(COUNTIF(Data!$R$2:$R$500,2)*2)+(COUNTIF(Data!$R$2:$R$500,3)*3)+(COUNTIF(Data!$R$2:$R$500,4)*4)+(COUNTIF(Data!$R$2:$R$500,5)*5))/(COUNTIF(Data!$R$2:$R$500,1)+COUNTIF(Data!$R$2:$R$500,2)+COUNTIF(Data!$R$2:$R$500,3)+COUNTIF(Data!$R$2:$R$500,4)+COUNTIF(Data!$R$2:$R$500,5))</f>
        <v>4.3809523809523814</v>
      </c>
      <c r="K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</row>
    <row r="82" spans="1:30">
      <c r="A82" s="78">
        <v>4</v>
      </c>
      <c r="B82" s="144" t="s">
        <v>129</v>
      </c>
      <c r="C82" s="134"/>
      <c r="D82" s="134"/>
      <c r="E82" s="134"/>
      <c r="F82" s="135"/>
      <c r="G82" s="136" t="s">
        <v>130</v>
      </c>
      <c r="H82" s="134"/>
      <c r="I82" s="135"/>
      <c r="J82" s="77">
        <f>((COUNTIF(Data!$S$2:$S$500,1)*1)+(COUNTIF(Data!$S$2:$S$500,2)*2)+(COUNTIF(Data!$S$2:$S$500,3)*3)+(COUNTIF(Data!$S$2:$S$500,4)*4)+(COUNTIF(Data!$S$2:$S$500,5)*5))/(COUNTIF(Data!$S$2:$S$500,1)+COUNTIF(Data!$S$2:$S$500,2)+COUNTIF(Data!$S$2:$S$500,3)+COUNTIF(Data!$S$2:$S$500,4)+COUNTIF(Data!$S$2:$S$500,5))</f>
        <v>4.8666666666666663</v>
      </c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</row>
    <row r="83" spans="1:30">
      <c r="A83" s="75">
        <v>5</v>
      </c>
      <c r="B83" s="144" t="s">
        <v>131</v>
      </c>
      <c r="C83" s="134"/>
      <c r="D83" s="134"/>
      <c r="E83" s="134"/>
      <c r="F83" s="135"/>
      <c r="G83" s="136" t="s">
        <v>124</v>
      </c>
      <c r="H83" s="134"/>
      <c r="I83" s="135"/>
      <c r="J83" s="77">
        <f>((COUNTIF(Data!$T$2:$T$500,1)*1)+(COUNTIF(Data!$T$2:$T$500,2)*2)+(COUNTIF(Data!$T$2:$T$500,3)*3)+(COUNTIF(Data!$T$2:$T$500,4)*4)+(COUNTIF(Data!$T$2:$T$500,5)*5))/(COUNTIF(Data!$T$2:$T$500,1)+COUNTIF(Data!$T$2:$T$500,2)+COUNTIF(Data!$T$2:$T$500,3)+COUNTIF(Data!$T$2:$T$500,4)+COUNTIF(Data!$T$2:$T$500,5))</f>
        <v>3.8</v>
      </c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</row>
    <row r="84" spans="1:30">
      <c r="A84" s="78">
        <v>6</v>
      </c>
      <c r="B84" s="144" t="s">
        <v>132</v>
      </c>
      <c r="C84" s="134"/>
      <c r="D84" s="134"/>
      <c r="E84" s="134"/>
      <c r="F84" s="135"/>
      <c r="G84" s="136" t="s">
        <v>124</v>
      </c>
      <c r="H84" s="134"/>
      <c r="I84" s="135"/>
      <c r="J84" s="77">
        <f>((COUNTIF(Data!$U$2:$U$500,1)*1)+(COUNTIF(Data!$U$2:$U$500,2)*2)+(COUNTIF(Data!$U$2:$U$500,3)*3)+(COUNTIF(Data!$U$2:$U$500,4)*4)+(COUNTIF(Data!$U$2:$U$500,5)*5))/(COUNTIF(Data!$U$2:$U$500,1)+COUNTIF(Data!$U$2:$U$500,2)+COUNTIF(Data!$U$2:$U$500,3)+COUNTIF(Data!$U$2:$U$500,4)+COUNTIF(Data!$U$2:$U$500,5))</f>
        <v>4.7037037037037033</v>
      </c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</row>
    <row r="85" spans="1:30">
      <c r="A85" s="75">
        <v>7</v>
      </c>
      <c r="B85" s="144" t="s">
        <v>133</v>
      </c>
      <c r="C85" s="134"/>
      <c r="D85" s="134"/>
      <c r="E85" s="134"/>
      <c r="F85" s="135"/>
      <c r="G85" s="136" t="s">
        <v>124</v>
      </c>
      <c r="H85" s="134"/>
      <c r="I85" s="135"/>
      <c r="J85" s="77">
        <f>((COUNTIF(Data!$V$2:$V$500,1)*1)+(COUNTIF(Data!$V$2:$V$500,2)*2)+(COUNTIF(Data!$V$2:$V$500,3)*3)+(COUNTIF(Data!$V$2:$V$500,4)*4)+(COUNTIF(Data!$V$2:$V$500,5)*5))/(COUNTIF(Data!$V$2:$V$500,1)+COUNTIF(Data!$V$2:$V$500,2)+COUNTIF(Data!$V$2:$V$500,3)+COUNTIF(Data!$V$2:$V$500,4)+COUNTIF(Data!$V$2:$V$500,5))</f>
        <v>4.6296296296296298</v>
      </c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</row>
    <row r="86" spans="1:30">
      <c r="A86" s="78">
        <v>8</v>
      </c>
      <c r="B86" s="145" t="s">
        <v>134</v>
      </c>
      <c r="C86" s="134"/>
      <c r="D86" s="134"/>
      <c r="E86" s="134"/>
      <c r="F86" s="135"/>
      <c r="G86" s="146" t="s">
        <v>124</v>
      </c>
      <c r="H86" s="134"/>
      <c r="I86" s="135"/>
      <c r="J86" s="79">
        <f>((COUNTIF(Data!$W$2:$W$500,1)*1)+(COUNTIF(Data!$W$2:$W$500,2)*2)+(COUNTIF(Data!$W$2:$W$500,3)*3)+(COUNTIF(Data!$W$2:$W$500,4)*4)+(COUNTIF(Data!$W$2:$W$500,5)*5))/(COUNTIF(Data!$W$2:$W$500,1)+COUNTIF(Data!$W$2:$W$500,2)+COUNTIF(Data!$W$2:$W$500,3)+COUNTIF(Data!$W$2:$W$500,4)+COUNTIF(Data!$W$2:$W$500,5))</f>
        <v>4.5555555555555554</v>
      </c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</row>
    <row r="87" spans="1:30">
      <c r="A87" s="75">
        <v>9</v>
      </c>
      <c r="B87" s="144" t="s">
        <v>135</v>
      </c>
      <c r="C87" s="134"/>
      <c r="D87" s="134"/>
      <c r="E87" s="134"/>
      <c r="F87" s="135"/>
      <c r="G87" s="136" t="s">
        <v>124</v>
      </c>
      <c r="H87" s="134"/>
      <c r="I87" s="135"/>
      <c r="J87" s="77">
        <f>((COUNTIF(Data!$X$2:$X$500,1)*1)+(COUNTIF(Data!$X$2:$X$500,2)*2)+(COUNTIF(Data!$X$2:$X$500,3)*3)+(COUNTIF(Data!$X$2:$X$500,4)*4)+(COUNTIF(Data!$X$2:$X$500,5)*5))/(COUNTIF(Data!$X$2:$X$500,1)+COUNTIF(Data!$X$2:$X$500,2)+COUNTIF(Data!$X$2:$X$500,3)+COUNTIF(Data!$X$2:$X$500,4)+COUNTIF(Data!$X$2:$X$500,5))</f>
        <v>2.5882352941176472</v>
      </c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</row>
    <row r="88" spans="1:30">
      <c r="A88" s="80"/>
      <c r="B88" s="151" t="s">
        <v>136</v>
      </c>
      <c r="C88" s="134"/>
      <c r="D88" s="134"/>
      <c r="E88" s="134"/>
      <c r="F88" s="135"/>
      <c r="G88" s="152"/>
      <c r="H88" s="134"/>
      <c r="I88" s="135"/>
      <c r="J88" s="81">
        <f>AVERAGE(J79:J85,J87)</f>
        <v>4.3115532569849524</v>
      </c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</row>
    <row r="89" spans="1:30" ht="14.25">
      <c r="A89" s="4"/>
      <c r="B89" s="148"/>
      <c r="C89" s="149"/>
      <c r="D89" s="149"/>
      <c r="E89" s="149"/>
      <c r="F89" s="149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</row>
    <row r="90" spans="1:30" ht="12.75">
      <c r="A90" s="4"/>
      <c r="B90" s="150" t="s">
        <v>137</v>
      </c>
      <c r="C90" s="149"/>
      <c r="D90" s="149"/>
      <c r="E90" s="149"/>
      <c r="F90" s="149"/>
      <c r="G90" s="149"/>
      <c r="H90" s="149"/>
      <c r="I90" s="149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</row>
    <row r="91" spans="1:30" ht="14.25">
      <c r="A91" s="4"/>
      <c r="B91" s="148"/>
      <c r="C91" s="149"/>
      <c r="D91" s="149"/>
      <c r="E91" s="149"/>
      <c r="F91" s="149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</row>
    <row r="92" spans="1:30" ht="14.25">
      <c r="A92" s="4"/>
      <c r="B92" s="148"/>
      <c r="C92" s="149"/>
      <c r="D92" s="149"/>
      <c r="E92" s="149"/>
      <c r="F92" s="149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</row>
    <row r="93" spans="1:30" ht="18">
      <c r="B93" s="71" t="s">
        <v>138</v>
      </c>
      <c r="C93" s="66"/>
      <c r="D93" s="66"/>
      <c r="E93" s="66"/>
      <c r="F93" s="66"/>
      <c r="G93" s="1"/>
      <c r="H93" s="1"/>
      <c r="I93" s="1"/>
      <c r="J93" s="1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</row>
    <row r="94" spans="1:30" ht="30">
      <c r="A94" s="82" t="s">
        <v>61</v>
      </c>
      <c r="B94" s="147" t="s">
        <v>119</v>
      </c>
      <c r="C94" s="134"/>
      <c r="D94" s="134"/>
      <c r="E94" s="134"/>
      <c r="F94" s="135"/>
      <c r="G94" s="147" t="s">
        <v>120</v>
      </c>
      <c r="H94" s="134"/>
      <c r="I94" s="135"/>
      <c r="J94" s="83" t="s">
        <v>121</v>
      </c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</row>
    <row r="95" spans="1:30" ht="15">
      <c r="A95" s="84">
        <v>1</v>
      </c>
      <c r="B95" s="142" t="s">
        <v>139</v>
      </c>
      <c r="C95" s="134"/>
      <c r="D95" s="134"/>
      <c r="E95" s="134"/>
      <c r="F95" s="135"/>
      <c r="G95" s="138" t="s">
        <v>124</v>
      </c>
      <c r="H95" s="134"/>
      <c r="I95" s="135"/>
      <c r="J95" s="85">
        <f>((COUNTIF(Data!$Y$2:$Y$500,1)*1)+(COUNTIF(Data!$Y$2:$Y$500,2)*2)+(COUNTIF(Data!$Y$2:$Y$500,3)*3)+(COUNTIF(Data!$Y$2:$Y$500,4)*4)+(COUNTIF(Data!$Y$2:$Y$500,5)*5))/(COUNTIF(Data!$Y$2:$Y$500,1)+COUNTIF(Data!$Y$2:$Y$500,2)+COUNTIF(Data!$Y$2:$Y$500,3)+COUNTIF(Data!$Y$2:$Y$500,4)+COUNTIF(Data!$Y$2:$Y$500,5))</f>
        <v>4.3</v>
      </c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</row>
    <row r="96" spans="1:30" ht="15">
      <c r="A96" s="86">
        <v>2</v>
      </c>
      <c r="B96" s="142" t="s">
        <v>140</v>
      </c>
      <c r="C96" s="134"/>
      <c r="D96" s="134"/>
      <c r="E96" s="134"/>
      <c r="F96" s="135"/>
      <c r="G96" s="138" t="s">
        <v>124</v>
      </c>
      <c r="H96" s="134"/>
      <c r="I96" s="135"/>
      <c r="J96" s="85">
        <f>((COUNTIF(Data!$Z$2:$Z$500,1)*1)+(COUNTIF(Data!$Z$2:$Z$500,2)*2)+(COUNTIF(Data!$Z$2:$Z$500,3)*3)+(COUNTIF(Data!$Z$2:$Z$500,4)*4)+(COUNTIF(Data!$Z$2:$Z$500,5)*5))/(COUNTIF(Data!$Z$2:$Z$500,1)+COUNTIF(Data!$Z$2:$Z$500,2)+COUNTIF(Data!$Z$2:$Z$500,3)+COUNTIF(Data!$Z$2:$Z$500,4)+COUNTIF(Data!$Z$2:$Z$500,5))</f>
        <v>4.4666666666666668</v>
      </c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</row>
    <row r="97" spans="1:30" ht="15">
      <c r="A97" s="84">
        <v>3</v>
      </c>
      <c r="B97" s="142" t="s">
        <v>141</v>
      </c>
      <c r="C97" s="134"/>
      <c r="D97" s="134"/>
      <c r="E97" s="134"/>
      <c r="F97" s="135"/>
      <c r="G97" s="138" t="s">
        <v>124</v>
      </c>
      <c r="H97" s="134"/>
      <c r="I97" s="135"/>
      <c r="J97" s="85">
        <f>((COUNTIF(Data!$AA$2:$AA$500,1)*1)+(COUNTIF(Data!$AA$2:$AA$500,2)*2)+(COUNTIF(Data!$AA$2:$AA$500,3)*3)+(COUNTIF(Data!$AA$2:$AA$500,4)*4)+(COUNTIF(Data!$AA$2:$AA$500,5)*5))/(COUNTIF(Data!$AA$2:$AA$500,1)+COUNTIF(Data!$AA$2:$AA$500,2)+COUNTIF(Data!$AA$2:$AA$500,3)+COUNTIF(Data!$AA$2:$AA$500,4)+COUNTIF(Data!$AA$2:$AA$500,5))</f>
        <v>4.333333333333333</v>
      </c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</row>
    <row r="98" spans="1:30" ht="15">
      <c r="A98" s="86">
        <v>4</v>
      </c>
      <c r="B98" s="142" t="s">
        <v>142</v>
      </c>
      <c r="C98" s="134"/>
      <c r="D98" s="134"/>
      <c r="E98" s="134"/>
      <c r="F98" s="135"/>
      <c r="G98" s="138" t="s">
        <v>124</v>
      </c>
      <c r="H98" s="134"/>
      <c r="I98" s="135"/>
      <c r="J98" s="85">
        <f>((COUNTIF(Data!$AB$2:$AB$500,1)*1)+(COUNTIF(Data!$AB$2:$AB$500,2)*2)+(COUNTIF(Data!$AB$2:$AB$500,3)*3)+(COUNTIF(Data!$AB$2:$AB$500,4)*4)+(COUNTIF(Data!$AB$2:$AB$500,5)*5))/(COUNTIF(Data!$AB$2:$AB$500,1)+COUNTIF(Data!$AB$2:$AB$500,2)+COUNTIF(Data!$AB$2:$AB$500,3)+COUNTIF(Data!$AB$2:$AB$500,4)+COUNTIF(Data!$AB$2:$AB$500,5))</f>
        <v>4.5</v>
      </c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</row>
    <row r="99" spans="1:30" ht="14.25">
      <c r="A99" s="87"/>
      <c r="B99" s="141" t="s">
        <v>136</v>
      </c>
      <c r="C99" s="134"/>
      <c r="D99" s="134"/>
      <c r="E99" s="134"/>
      <c r="F99" s="135"/>
      <c r="G99" s="139"/>
      <c r="H99" s="134"/>
      <c r="I99" s="135"/>
      <c r="J99" s="88">
        <f>AVERAGE(J95:J98)</f>
        <v>4.3999999999999995</v>
      </c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</row>
    <row r="100" spans="1:30" ht="12.7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</row>
    <row r="101" spans="1:30" ht="12.7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</row>
    <row r="102" spans="1:30" ht="18">
      <c r="B102" s="71" t="s">
        <v>143</v>
      </c>
      <c r="C102" s="66"/>
      <c r="D102" s="66"/>
      <c r="E102" s="66"/>
      <c r="F102" s="66"/>
      <c r="G102" s="1"/>
      <c r="H102" s="1"/>
      <c r="I102" s="1"/>
      <c r="J102" s="1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</row>
    <row r="103" spans="1:30" ht="31.5">
      <c r="A103" s="72" t="s">
        <v>61</v>
      </c>
      <c r="B103" s="140" t="s">
        <v>119</v>
      </c>
      <c r="C103" s="134"/>
      <c r="D103" s="134"/>
      <c r="E103" s="134"/>
      <c r="F103" s="135"/>
      <c r="G103" s="140" t="s">
        <v>120</v>
      </c>
      <c r="H103" s="134"/>
      <c r="I103" s="135"/>
      <c r="J103" s="73" t="s">
        <v>121</v>
      </c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</row>
    <row r="104" spans="1:30">
      <c r="A104" s="75">
        <v>1</v>
      </c>
      <c r="B104" s="133" t="s">
        <v>144</v>
      </c>
      <c r="C104" s="134"/>
      <c r="D104" s="134"/>
      <c r="E104" s="134"/>
      <c r="F104" s="135"/>
      <c r="G104" s="136" t="s">
        <v>124</v>
      </c>
      <c r="H104" s="134"/>
      <c r="I104" s="135"/>
      <c r="J104" s="77">
        <f>((COUNTIF(Data!$AC$2:$AC$500,1)*1)+(COUNTIF(Data!$AC$2:$AC$500,2)*2)+(COUNTIF(Data!$AC$2:$AC$500,3)*3)+(COUNTIF(Data!$AC$2:$AC$500,4)*4)+(COUNTIF(Data!$AC$2:$AC$500,5)*5))/(COUNTIF(Data!$AC$2:$AC$500,1)+COUNTIF(Data!$AC$2:$AC$500,2)+COUNTIF(Data!$AC$2:$AC$500,3)+COUNTIF(Data!$AC$2:$AC$500,4)+COUNTIF(Data!$AC$2:$AC$500,5))</f>
        <v>4.5172413793103452</v>
      </c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</row>
    <row r="105" spans="1:30">
      <c r="A105" s="78"/>
      <c r="B105" s="133" t="s">
        <v>145</v>
      </c>
      <c r="C105" s="134"/>
      <c r="D105" s="134"/>
      <c r="E105" s="134"/>
      <c r="F105" s="135"/>
      <c r="G105" s="136"/>
      <c r="H105" s="134"/>
      <c r="I105" s="135"/>
      <c r="J105" s="77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</row>
    <row r="106" spans="1:30">
      <c r="A106" s="75">
        <v>3</v>
      </c>
      <c r="B106" s="133" t="s">
        <v>146</v>
      </c>
      <c r="C106" s="134"/>
      <c r="D106" s="134"/>
      <c r="E106" s="134"/>
      <c r="F106" s="135"/>
      <c r="G106" s="136" t="s">
        <v>124</v>
      </c>
      <c r="H106" s="134"/>
      <c r="I106" s="135"/>
      <c r="J106" s="77">
        <f>((COUNTIF(Data!$AD$2:$AD$500,1)*1)+(COUNTIF(Data!$AD$2:$AD$500,2)*2)+(COUNTIF(Data!$AD$2:$AD$500,3)*3)+(COUNTIF(Data!$AD$2:$AD$500,4)*4)+(COUNTIF(Data!$AD$2:$AD$500,5)*5))/(COUNTIF(Data!$AD$2:$AD$500,1)+COUNTIF(Data!$AD$2:$AD$500,2)+COUNTIF(Data!$AD$2:$AD$500,3)+COUNTIF(Data!$AD$2:$AD$500,4)+COUNTIF(Data!$AD$2:$AD$500,5))</f>
        <v>4.5</v>
      </c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</row>
    <row r="107" spans="1:30">
      <c r="A107" s="78">
        <v>4</v>
      </c>
      <c r="B107" s="133" t="s">
        <v>147</v>
      </c>
      <c r="C107" s="134"/>
      <c r="D107" s="134"/>
      <c r="E107" s="134"/>
      <c r="F107" s="135"/>
      <c r="G107" s="136" t="s">
        <v>124</v>
      </c>
      <c r="H107" s="134"/>
      <c r="I107" s="135"/>
      <c r="J107" s="77">
        <f>((COUNTIF(Data!$AE$2:$AE$500,1)*1)+(COUNTIF(Data!$AE$2:$AE$500,2)*2)+(COUNTIF(Data!$AE$2:$AE$500,3)*3)+(COUNTIF(Data!$AE$2:$AE$500,4)*4)+(COUNTIF(Data!$AE$2:$AE$500,5)*5))/(COUNTIF(Data!$AE$2:$AE$500,1)+COUNTIF(Data!$AE$2:$AE$500,2)+COUNTIF(Data!$AE$2:$AE$500,3)+COUNTIF(Data!$AE$2:$AE$500,4)+COUNTIF(Data!$AE$2:$AE$500,5))</f>
        <v>4.7666666666666666</v>
      </c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</row>
    <row r="108" spans="1:30">
      <c r="A108" s="75">
        <v>5</v>
      </c>
      <c r="B108" s="133" t="s">
        <v>148</v>
      </c>
      <c r="C108" s="134"/>
      <c r="D108" s="134"/>
      <c r="E108" s="134"/>
      <c r="F108" s="135"/>
      <c r="G108" s="136" t="s">
        <v>124</v>
      </c>
      <c r="H108" s="134"/>
      <c r="I108" s="135"/>
      <c r="J108" s="77">
        <f>((COUNTIF(Data!$AF$2:$AF$500,1)*1)+(COUNTIF(Data!$AF$2:$AF$500,2)*2)+(COUNTIF(Data!$AF$2:$AF$500,3)*3)+(COUNTIF(Data!$AF$2:$AF$500,4)*4)+(COUNTIF(Data!$AF$2:$AF$500,5)*5))/(COUNTIF(Data!$AF$2:$AF$500,1)+COUNTIF(Data!$AF$2:$AF$500,2)+COUNTIF(Data!$AF$2:$AF$500,3)+COUNTIF(Data!$AF$2:$AF$500,4)+COUNTIF(Data!$AF$2:$AF$500,5))</f>
        <v>4.6551724137931032</v>
      </c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</row>
    <row r="109" spans="1:30">
      <c r="A109" s="78">
        <v>6</v>
      </c>
      <c r="B109" s="133" t="s">
        <v>149</v>
      </c>
      <c r="C109" s="134"/>
      <c r="D109" s="134"/>
      <c r="E109" s="134"/>
      <c r="F109" s="135"/>
      <c r="G109" s="136" t="s">
        <v>124</v>
      </c>
      <c r="H109" s="134"/>
      <c r="I109" s="135"/>
      <c r="J109" s="77">
        <f>((COUNTIF(Data!$AG$2:$AG$500,1)*1)+(COUNTIF(Data!$AG$2:$AG$500,2)*2)+(COUNTIF(Data!$AG$2:$AG$500,3)*3)+(COUNTIF(Data!$AG$2:$AG$500,4)*4)+(COUNTIF(Data!$AG$2:$AG$500,5)*5))/(COUNTIF(Data!$AG$2:$AG$500,1)+COUNTIF(Data!$AG$2:$AG$500,2)+COUNTIF(Data!$AG$2:$AG$500,3)+COUNTIF(Data!$AG$2:$AG$500,4)+COUNTIF(Data!$AG$2:$AG$500,5))</f>
        <v>4.5666666666666664</v>
      </c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</row>
    <row r="110" spans="1:30">
      <c r="A110" s="75">
        <v>7</v>
      </c>
      <c r="B110" s="133" t="s">
        <v>150</v>
      </c>
      <c r="C110" s="134"/>
      <c r="D110" s="134"/>
      <c r="E110" s="134"/>
      <c r="F110" s="135"/>
      <c r="G110" s="136" t="s">
        <v>124</v>
      </c>
      <c r="H110" s="134"/>
      <c r="I110" s="135"/>
      <c r="J110" s="77">
        <f>((COUNTIF(Data!$AH$2:$AH$500,1)*1)+(COUNTIF(Data!$AH$2:$AH$500,2)*2)+(COUNTIF(Data!$AH$2:$AH$500,3)*3)+(COUNTIF(Data!$AH$2:$AH$500,4)*4)+(COUNTIF(Data!$AH$2:$AH$500,5)*5))/(COUNTIF(Data!$AH$2:$AH$500,1)+COUNTIF(Data!$AH$2:$AH$500,2)+COUNTIF(Data!$AH$2:$AH$500,3)+COUNTIF(Data!$AH$2:$AH$500,4)+COUNTIF(Data!$AH$2:$AH$500,5))</f>
        <v>4.4137931034482758</v>
      </c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</row>
    <row r="111" spans="1:30">
      <c r="A111" s="78">
        <v>8</v>
      </c>
      <c r="B111" s="133" t="s">
        <v>151</v>
      </c>
      <c r="C111" s="134"/>
      <c r="D111" s="134"/>
      <c r="E111" s="134"/>
      <c r="F111" s="135"/>
      <c r="G111" s="143" t="s">
        <v>152</v>
      </c>
      <c r="H111" s="134"/>
      <c r="I111" s="135"/>
      <c r="J111" s="89">
        <f>COUNTIF(Data!$AI$2:$AI$500,"Так")/COUNT(Data!$A2:A500)</f>
        <v>0.5</v>
      </c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</row>
    <row r="112" spans="1:30">
      <c r="A112" s="75">
        <v>9</v>
      </c>
      <c r="B112" s="133" t="s">
        <v>153</v>
      </c>
      <c r="C112" s="134"/>
      <c r="D112" s="134"/>
      <c r="E112" s="134"/>
      <c r="F112" s="135"/>
      <c r="G112" s="136" t="s">
        <v>124</v>
      </c>
      <c r="H112" s="134"/>
      <c r="I112" s="135"/>
      <c r="J112" s="77">
        <f>((COUNTIF(Data!$AJ$2:$AJ$500,1)*1)+(COUNTIF(Data!$AJ$2:$AJ$500,2)*2)+(COUNTIF(Data!$AJ$2:$AJ$500,3)*3)+(COUNTIF(Data!$AJ$2:$AJ$500,4)*4)+(COUNTIF(Data!$AJ$2:$AJ$500,5)*5))/(COUNTIF(Data!$AJ$2:$AJ$500,1)+COUNTIF(Data!$AJ$2:$AJ$500,2)+COUNTIF(Data!$AJ$2:$AJ$500,3)+COUNTIF(Data!$AJ$2:$AJ$500,4)+COUNTIF(Data!$AJ$2:$AJ$500,5))</f>
        <v>4.4117647058823533</v>
      </c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</row>
    <row r="113" spans="1:30">
      <c r="A113" s="80"/>
      <c r="B113" s="137" t="s">
        <v>136</v>
      </c>
      <c r="C113" s="134"/>
      <c r="D113" s="134"/>
      <c r="E113" s="134"/>
      <c r="F113" s="135"/>
      <c r="G113" s="136"/>
      <c r="H113" s="134"/>
      <c r="I113" s="135"/>
      <c r="J113" s="81">
        <f>AVERAGE(J104,J106:J110,J112)</f>
        <v>4.5473292765382016</v>
      </c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</row>
    <row r="114" spans="1:30" ht="12.7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</row>
    <row r="115" spans="1:30" ht="12.7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</row>
    <row r="116" spans="1:30" ht="18">
      <c r="B116" s="71" t="s">
        <v>154</v>
      </c>
      <c r="C116" s="66"/>
      <c r="D116" s="66"/>
      <c r="E116" s="66"/>
      <c r="F116" s="66"/>
      <c r="G116" s="1"/>
      <c r="H116" s="1"/>
      <c r="I116" s="1"/>
      <c r="J116" s="1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</row>
    <row r="117" spans="1:30" ht="31.5">
      <c r="A117" s="72" t="s">
        <v>61</v>
      </c>
      <c r="B117" s="140" t="s">
        <v>119</v>
      </c>
      <c r="C117" s="134"/>
      <c r="D117" s="134"/>
      <c r="E117" s="134"/>
      <c r="F117" s="135"/>
      <c r="G117" s="140" t="s">
        <v>120</v>
      </c>
      <c r="H117" s="134"/>
      <c r="I117" s="135"/>
      <c r="J117" s="73" t="s">
        <v>121</v>
      </c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</row>
    <row r="118" spans="1:30">
      <c r="A118" s="75">
        <v>1</v>
      </c>
      <c r="B118" s="155" t="s">
        <v>155</v>
      </c>
      <c r="C118" s="134"/>
      <c r="D118" s="134"/>
      <c r="E118" s="134"/>
      <c r="F118" s="135"/>
      <c r="G118" s="136" t="s">
        <v>124</v>
      </c>
      <c r="H118" s="134"/>
      <c r="I118" s="135"/>
      <c r="J118" s="77">
        <f>((COUNTIF(Data!$AK$2:$AK$500,1)*1)+(COUNTIF(Data!$AK$2:$AK$500,2)*2)+(COUNTIF(Data!$AK$2:$AK$500,3)*3)+(COUNTIF(Data!$AK$2:$AK$500,4)*4)+(COUNTIF(Data!$AK$2:$AK$500,5)*5))/(COUNTIF(Data!$AK$2:$AK$500,1)+COUNTIF(Data!$AK$2:$AK$500,2)+COUNTIF(Data!$AK$2:$AK$500,3)+COUNTIF(Data!$AK$2:$AK$500,4)+COUNTIF(Data!$AK$2:$AK$500,5))</f>
        <v>4.75</v>
      </c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</row>
    <row r="119" spans="1:30">
      <c r="A119" s="78">
        <v>2</v>
      </c>
      <c r="B119" s="155" t="s">
        <v>156</v>
      </c>
      <c r="C119" s="134"/>
      <c r="D119" s="134"/>
      <c r="E119" s="134"/>
      <c r="F119" s="135"/>
      <c r="G119" s="136" t="s">
        <v>124</v>
      </c>
      <c r="H119" s="134"/>
      <c r="I119" s="135"/>
      <c r="J119" s="77">
        <f>((COUNTIF(Data!$AL$2:$AL$500,1)*5)+(COUNTIF(Data!$AL$2:$AL$500,2)*4)+(COUNTIF(Data!$AL$2:$AL$500,3)*3)+(COUNTIF(Data!$AL$2:$AL$500,4)*2)+(COUNTIF(Data!$AL$2:$AL$500,5)*1))/(COUNTIF(Data!$AL$2:$AL$500,1)+COUNTIF(Data!$AL$2:$AL$500,2)+COUNTIF(Data!$AL$2:$AL$500,3)+COUNTIF(Data!$AL$2:$AL$500,4)+COUNTIF(Data!$AL$2:$AL$500,5))</f>
        <v>4.1363636363636367</v>
      </c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</row>
    <row r="120" spans="1:30">
      <c r="A120" s="75">
        <v>3</v>
      </c>
      <c r="B120" s="155" t="s">
        <v>157</v>
      </c>
      <c r="C120" s="134"/>
      <c r="D120" s="134"/>
      <c r="E120" s="134"/>
      <c r="F120" s="135"/>
      <c r="G120" s="136"/>
      <c r="H120" s="134"/>
      <c r="I120" s="135"/>
      <c r="J120" s="77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</row>
    <row r="121" spans="1:30">
      <c r="A121" s="78">
        <v>4</v>
      </c>
      <c r="B121" s="155" t="s">
        <v>158</v>
      </c>
      <c r="C121" s="134"/>
      <c r="D121" s="134"/>
      <c r="E121" s="134"/>
      <c r="F121" s="135"/>
      <c r="G121" s="136" t="s">
        <v>124</v>
      </c>
      <c r="H121" s="134"/>
      <c r="I121" s="135"/>
      <c r="J121" s="77">
        <f>((COUNTIF(Data!$AM$2:$AM$500,1)*1)+(COUNTIF(Data!$AM$2:$AM$500,2)*2)+(COUNTIF(Data!$AM$2:$AM$500,3)*3)+(COUNTIF(Data!$AM$2:$AM$500,4)*4)+(COUNTIF(Data!$AM$2:$AM$500,5)*5))/(COUNTIF(Data!$AM$2:$AM$500,1)+COUNTIF(Data!$AM$2:$AM$500,2)+COUNTIF(Data!$AM$2:$AM$500,3)+COUNTIF(Data!$AM$2:$AM$500,4)+COUNTIF(Data!$AM$2:$AM$500,5))</f>
        <v>4.72</v>
      </c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</row>
    <row r="122" spans="1:30">
      <c r="A122" s="80"/>
      <c r="B122" s="155" t="s">
        <v>159</v>
      </c>
      <c r="C122" s="134"/>
      <c r="D122" s="134"/>
      <c r="E122" s="134"/>
      <c r="F122" s="135"/>
      <c r="G122" s="136" t="s">
        <v>124</v>
      </c>
      <c r="H122" s="134"/>
      <c r="I122" s="135"/>
      <c r="J122" s="77">
        <f>((COUNTIF(Data!$AN$2:$AN$500,1)*1)+(COUNTIF(Data!$AN$2:$AN$500,2)*2)+(COUNTIF(Data!$AN$2:$AN$500,3)*3)+(COUNTIF(Data!$AN$2:$AN$500,4)*4)+(COUNTIF(Data!$AN$2:$AN$500,5)*5))/(COUNTIF(Data!$AN$2:$AN$500,1)+COUNTIF(Data!$AN$2:$AN$500,2)+COUNTIF(Data!$AN$2:$AN$500,3)+COUNTIF(Data!$AN$2:$AN$500,4)+COUNTIF(Data!$AN$2:$AN$500,5))</f>
        <v>4.5999999999999996</v>
      </c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</row>
    <row r="123" spans="1:30">
      <c r="A123" s="90"/>
      <c r="B123" s="155" t="s">
        <v>160</v>
      </c>
      <c r="C123" s="134"/>
      <c r="D123" s="134"/>
      <c r="E123" s="134"/>
      <c r="F123" s="135"/>
      <c r="G123" s="136" t="s">
        <v>124</v>
      </c>
      <c r="H123" s="134"/>
      <c r="I123" s="135"/>
      <c r="J123" s="77">
        <f>((COUNTIF(Data!$AO$2:$AO$500,1)*1)+(COUNTIF(Data!$AO$2:$AO$500,2)*2)+(COUNTIF(Data!$AO$2:$AO$500,3)*3)+(COUNTIF(Data!$AO$2:$AO$500,4)*4)+(COUNTIF(Data!$AO$2:$AO$500,5)*5))/(COUNTIF(Data!$AO$2:$AO$500,1)+COUNTIF(Data!$AO$2:$AO$500,2)+COUNTIF(Data!$AO$2:$AO$500,3)+COUNTIF(Data!$AO$2:$AO$500,4)+COUNTIF(Data!$AO$2:$AO$500,5))</f>
        <v>4.68</v>
      </c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</row>
    <row r="124" spans="1:30">
      <c r="A124" s="80"/>
      <c r="B124" s="151" t="s">
        <v>136</v>
      </c>
      <c r="C124" s="134"/>
      <c r="D124" s="134"/>
      <c r="E124" s="134"/>
      <c r="F124" s="135"/>
      <c r="G124" s="136"/>
      <c r="H124" s="134"/>
      <c r="I124" s="135"/>
      <c r="J124" s="81">
        <f>AVERAGE(J118:J119,J121:J123)</f>
        <v>4.5772727272727263</v>
      </c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</row>
    <row r="125" spans="1:30" ht="12.7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</row>
    <row r="126" spans="1:30" ht="12.7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</row>
    <row r="127" spans="1:30" ht="18">
      <c r="B127" s="71" t="s">
        <v>161</v>
      </c>
      <c r="C127" s="66"/>
      <c r="D127" s="66"/>
      <c r="E127" s="66"/>
      <c r="F127" s="66"/>
      <c r="G127" s="1"/>
      <c r="H127" s="1"/>
      <c r="I127" s="1"/>
      <c r="J127" s="1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</row>
    <row r="128" spans="1:30" ht="31.5">
      <c r="A128" s="72" t="s">
        <v>61</v>
      </c>
      <c r="B128" s="140" t="s">
        <v>119</v>
      </c>
      <c r="C128" s="134"/>
      <c r="D128" s="134"/>
      <c r="E128" s="134"/>
      <c r="F128" s="135"/>
      <c r="G128" s="140" t="s">
        <v>120</v>
      </c>
      <c r="H128" s="134"/>
      <c r="I128" s="135"/>
      <c r="J128" s="73" t="s">
        <v>121</v>
      </c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</row>
    <row r="129" spans="1:30">
      <c r="A129" s="75">
        <v>1</v>
      </c>
      <c r="B129" s="155" t="s">
        <v>162</v>
      </c>
      <c r="C129" s="134"/>
      <c r="D129" s="134"/>
      <c r="E129" s="134"/>
      <c r="F129" s="135"/>
      <c r="G129" s="136" t="s">
        <v>124</v>
      </c>
      <c r="H129" s="134"/>
      <c r="I129" s="135"/>
      <c r="J129" s="77">
        <f>((COUNTIF(Data!$AP$2:$AP$500,1)*1)+(COUNTIF(Data!$AP$2:$AP$500,2)*2)+(COUNTIF(Data!$AP$2:$AP$500,3)*3)+(COUNTIF(Data!$AP$2:$AP$500,4)*4)+(COUNTIF(Data!$AP$2:$AP$500,5)*5))/(COUNTIF(Data!$AP$2:$AP$500,1)+COUNTIF(Data!$AP$2:$AP$500,2)+COUNTIF(Data!$AP$2:$AP$500,3)+COUNTIF(Data!$AP$2:$AP$500,4)+COUNTIF(Data!$AP$2:$AP$500,5))</f>
        <v>3.9090909090909092</v>
      </c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</row>
    <row r="130" spans="1:30">
      <c r="A130" s="78">
        <v>2</v>
      </c>
      <c r="B130" s="155" t="s">
        <v>163</v>
      </c>
      <c r="C130" s="134"/>
      <c r="D130" s="134"/>
      <c r="E130" s="134"/>
      <c r="F130" s="135"/>
      <c r="G130" s="136" t="s">
        <v>124</v>
      </c>
      <c r="H130" s="134"/>
      <c r="I130" s="135"/>
      <c r="J130" s="77">
        <f>((COUNTIF(Data!$AQ$2:$AQ$500,1)*1)+(COUNTIF(Data!$AQ$2:$AQ$500,2)*2)+(COUNTIF(Data!$AQ$2:$AQ$500,3)*3)+(COUNTIF(Data!$AQ$2:$AQ$500,4)*4)+(COUNTIF(Data!$AQ$2:$AQ$500,5)*5))/(COUNTIF(Data!$AQ$2:$AQ$500,1)+COUNTIF(Data!$AQ$2:$AQ$500,2)+COUNTIF(Data!$AQ$2:$AQ$500,3)+COUNTIF(Data!$AQ$2:$AQ$500,4)+COUNTIF(Data!$AQ$2:$AQ$500,5))</f>
        <v>4.4761904761904763</v>
      </c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</row>
    <row r="131" spans="1:30">
      <c r="A131" s="75">
        <v>3</v>
      </c>
      <c r="B131" s="155" t="s">
        <v>164</v>
      </c>
      <c r="C131" s="134"/>
      <c r="D131" s="134"/>
      <c r="E131" s="134"/>
      <c r="F131" s="135"/>
      <c r="G131" s="136" t="s">
        <v>124</v>
      </c>
      <c r="H131" s="134"/>
      <c r="I131" s="135"/>
      <c r="J131" s="77">
        <f>((COUNTIF(Data!$AR$2:$AR$500,1)*1)+(COUNTIF(Data!$AR$2:$AR$500,2)*2)+(COUNTIF(Data!$AR$2:$AR$500,3)*3)+(COUNTIF(Data!$AR$2:$AR$500,4)*4)+(COUNTIF(Data!$AR$2:$AR$500,5)*5))/(COUNTIF(Data!$AR$2:$AR$500,1)+COUNTIF(Data!$AR$2:$AR$500,2)+COUNTIF(Data!$AR$2:$AR$500,3)+COUNTIF(Data!$AR$2:$AR$500,4)+COUNTIF(Data!$AR$2:$AR$500,5))</f>
        <v>4.666666666666667</v>
      </c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</row>
    <row r="132" spans="1:30">
      <c r="A132" s="78">
        <v>4</v>
      </c>
      <c r="B132" s="155" t="s">
        <v>165</v>
      </c>
      <c r="C132" s="134"/>
      <c r="D132" s="134"/>
      <c r="E132" s="134"/>
      <c r="F132" s="135"/>
      <c r="G132" s="136" t="s">
        <v>124</v>
      </c>
      <c r="H132" s="134"/>
      <c r="I132" s="135"/>
      <c r="J132" s="77">
        <f>((COUNTIF(Data!$AS$2:$AS$500,1)*1)+(COUNTIF(Data!$AS$2:$AS$500,2)*2)+(COUNTIF(Data!$AS$2:$AS$500,3)*3)+(COUNTIF(Data!$AS$2:$AS$500,4)*4)+(COUNTIF(Data!$AS$2:$AS$500,5)*5))/(COUNTIF(Data!$AS$2:$AS$500,1)+COUNTIF(Data!$AS$2:$AS$500,2)+COUNTIF(Data!$AS$2:$AS$500,3)+COUNTIF(Data!$AS$2:$AS$500,4)+COUNTIF(Data!$AS$2:$AS$500,5))</f>
        <v>4.6842105263157894</v>
      </c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</row>
    <row r="133" spans="1:30">
      <c r="A133" s="80"/>
      <c r="B133" s="151" t="s">
        <v>136</v>
      </c>
      <c r="C133" s="134"/>
      <c r="D133" s="134"/>
      <c r="E133" s="134"/>
      <c r="F133" s="135"/>
      <c r="G133" s="136"/>
      <c r="H133" s="134"/>
      <c r="I133" s="135"/>
      <c r="J133" s="81">
        <f>AVERAGE(J129:J132)</f>
        <v>4.43403964456596</v>
      </c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</row>
    <row r="134" spans="1:30" ht="12.7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</row>
    <row r="135" spans="1:30" ht="12.7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</row>
    <row r="136" spans="1:30" ht="18">
      <c r="B136" s="71" t="s">
        <v>166</v>
      </c>
      <c r="C136" s="66"/>
      <c r="D136" s="66"/>
      <c r="E136" s="66"/>
      <c r="F136" s="66"/>
      <c r="G136" s="1"/>
      <c r="H136" s="1"/>
      <c r="I136" s="1"/>
      <c r="J136" s="1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</row>
    <row r="137" spans="1:30" ht="31.5">
      <c r="A137" s="72" t="s">
        <v>61</v>
      </c>
      <c r="B137" s="140" t="s">
        <v>119</v>
      </c>
      <c r="C137" s="134"/>
      <c r="D137" s="134"/>
      <c r="E137" s="134"/>
      <c r="F137" s="135"/>
      <c r="G137" s="140" t="s">
        <v>120</v>
      </c>
      <c r="H137" s="134"/>
      <c r="I137" s="135"/>
      <c r="J137" s="73" t="s">
        <v>121</v>
      </c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</row>
    <row r="138" spans="1:30">
      <c r="A138" s="75">
        <v>1</v>
      </c>
      <c r="B138" s="155" t="s">
        <v>167</v>
      </c>
      <c r="C138" s="134"/>
      <c r="D138" s="134"/>
      <c r="E138" s="134"/>
      <c r="F138" s="135"/>
      <c r="G138" s="136" t="s">
        <v>124</v>
      </c>
      <c r="H138" s="134"/>
      <c r="I138" s="135"/>
      <c r="J138" s="77">
        <f>((COUNTIF(Data!$AT$2:$AT$500,1)*1)+(COUNTIF(Data!$AT$2:$AT$500,2)*2)+(COUNTIF(Data!$AT$2:$AT$500,3)*3)+(COUNTIF(Data!$AT$2:$AT$500,4)*4)+(COUNTIF(Data!$AT$2:$AT$500,5)*5))/(COUNTIF(Data!$AT$2:$AT$500,1)+COUNTIF(Data!$AT$2:$AT$500,2)+COUNTIF(Data!$AT$2:$AT$500,3)+COUNTIF(Data!$AT$2:$AT$500,4)+COUNTIF(Data!$AT$2:$AT$500,5))</f>
        <v>4.2380952380952381</v>
      </c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</row>
    <row r="139" spans="1:30">
      <c r="A139" s="78">
        <v>2</v>
      </c>
      <c r="B139" s="155" t="s">
        <v>168</v>
      </c>
      <c r="C139" s="134"/>
      <c r="D139" s="134"/>
      <c r="E139" s="134"/>
      <c r="F139" s="135"/>
      <c r="G139" s="136" t="s">
        <v>124</v>
      </c>
      <c r="H139" s="134"/>
      <c r="I139" s="135"/>
      <c r="J139" s="77">
        <f>((COUNTIF(Data!$AU$2:$AU$500,1)*1)+(COUNTIF(Data!$AU$2:$AU$500,2)*2)+(COUNTIF(Data!$AU$2:$AU$500,3)*3)+(COUNTIF(Data!$AU$2:$AU$500,4)*4)+(COUNTIF(Data!$AU$2:$AU$500,5)*5))/(COUNTIF(Data!$AU$2:$AU$500,1)+COUNTIF(Data!$AU$2:$AU$500,2)+COUNTIF(Data!$AU$2:$AU$500,3)+COUNTIF(Data!$AU$2:$AU$500,4)+COUNTIF(Data!$AU$2:$AU$500,5))</f>
        <v>4.5238095238095237</v>
      </c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</row>
    <row r="140" spans="1:30">
      <c r="A140" s="75">
        <v>3</v>
      </c>
      <c r="B140" s="155" t="s">
        <v>169</v>
      </c>
      <c r="C140" s="134"/>
      <c r="D140" s="134"/>
      <c r="E140" s="134"/>
      <c r="F140" s="135"/>
      <c r="G140" s="136" t="s">
        <v>124</v>
      </c>
      <c r="H140" s="134"/>
      <c r="I140" s="135"/>
      <c r="J140" s="77">
        <f>((COUNTIF(Data!$AV$2:$AV$500,1)*1)+(COUNTIF(Data!$AV$2:$AV$500,2)*2)+(COUNTIF(Data!$AV$2:$AV$500,3)*3)+(COUNTIF(Data!$AV$2:$AV$500,4)*4)+(COUNTIF(Data!$AV$2:$AV$500,5)*5))/(COUNTIF(Data!$AV$2:$AV$500,1)+COUNTIF(Data!$AV$2:$AV$500,2)+COUNTIF(Data!$AV$2:$AV$500,3)+COUNTIF(Data!$AV$2:$AV$500,4)+COUNTIF(Data!$AV$2:$AV$500,5))</f>
        <v>4.4761904761904763</v>
      </c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</row>
    <row r="141" spans="1:30">
      <c r="A141" s="78">
        <v>4</v>
      </c>
      <c r="B141" s="155" t="s">
        <v>170</v>
      </c>
      <c r="C141" s="134"/>
      <c r="D141" s="134"/>
      <c r="E141" s="134"/>
      <c r="F141" s="135"/>
      <c r="G141" s="136" t="s">
        <v>124</v>
      </c>
      <c r="H141" s="134"/>
      <c r="I141" s="135"/>
      <c r="J141" s="77">
        <f>((COUNTIF(Data!$AW$2:$AW$500,1)*1)+(COUNTIF(Data!$AW$2:$AW$500,2)*2)+(COUNTIF(Data!$AW$2:$AW$500,3)*3)+(COUNTIF(Data!$AW$2:$AW$500,4)*4)+(COUNTIF(Data!$AW$2:$AW$500,5)*5))/(COUNTIF(Data!$AW$2:$AW$500,1)+COUNTIF(Data!$AW$2:$AW$500,2)+COUNTIF(Data!$AW$2:$AW$500,3)+COUNTIF(Data!$AW$2:$AW$500,4)+COUNTIF(Data!$AW$2:$AW$500,5))</f>
        <v>4.5714285714285712</v>
      </c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</row>
    <row r="142" spans="1:30">
      <c r="A142" s="78">
        <v>5</v>
      </c>
      <c r="B142" s="155" t="s">
        <v>171</v>
      </c>
      <c r="C142" s="134"/>
      <c r="D142" s="134"/>
      <c r="E142" s="134"/>
      <c r="F142" s="135"/>
      <c r="G142" s="136" t="s">
        <v>124</v>
      </c>
      <c r="H142" s="134"/>
      <c r="I142" s="135"/>
      <c r="J142" s="77">
        <f>((COUNTIF(Data!$AX$2:$AX$500,1)*1)+(COUNTIF(Data!$AX$2:$AX$500,2)*2)+(COUNTIF(Data!$AX$2:$AX$500,3)*3)+(COUNTIF(Data!$AX$2:$AX$500,4)*4)+(COUNTIF(Data!$AX$2:$AX$500,5)*5))/(COUNTIF(Data!$AX$2:$AX$500,1)+COUNTIF(Data!$AX$2:$AX$500,2)+COUNTIF(Data!$AX$2:$AX$500,3)+COUNTIF(Data!$AX$2:$AX$500,4)+COUNTIF(Data!$AX$2:$AX$500,5))</f>
        <v>4.6190476190476186</v>
      </c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</row>
    <row r="143" spans="1:30">
      <c r="A143" s="80"/>
      <c r="B143" s="151" t="s">
        <v>136</v>
      </c>
      <c r="C143" s="134"/>
      <c r="D143" s="134"/>
      <c r="E143" s="134"/>
      <c r="F143" s="135"/>
      <c r="G143" s="136"/>
      <c r="H143" s="134"/>
      <c r="I143" s="135"/>
      <c r="J143" s="81">
        <f>AVERAGE(J138:J142)</f>
        <v>4.4857142857142858</v>
      </c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</row>
    <row r="144" spans="1:30" ht="12.7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</row>
    <row r="145" spans="1:30" ht="12.7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</row>
    <row r="146" spans="1:30" ht="13.5">
      <c r="B146" s="159" t="s">
        <v>172</v>
      </c>
      <c r="C146" s="149"/>
      <c r="D146" s="149"/>
      <c r="E146" s="149"/>
      <c r="F146" s="149"/>
      <c r="G146" s="149"/>
      <c r="H146" s="149"/>
      <c r="I146" s="149"/>
      <c r="J146" s="149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</row>
    <row r="147" spans="1:30" ht="31.5">
      <c r="A147" s="72" t="s">
        <v>61</v>
      </c>
      <c r="B147" s="140" t="s">
        <v>119</v>
      </c>
      <c r="C147" s="134"/>
      <c r="D147" s="134"/>
      <c r="E147" s="134"/>
      <c r="F147" s="135"/>
      <c r="G147" s="140" t="s">
        <v>120</v>
      </c>
      <c r="H147" s="134"/>
      <c r="I147" s="135"/>
      <c r="J147" s="73" t="s">
        <v>121</v>
      </c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</row>
    <row r="148" spans="1:30">
      <c r="A148" s="75">
        <v>1</v>
      </c>
      <c r="B148" s="155" t="s">
        <v>173</v>
      </c>
      <c r="C148" s="134"/>
      <c r="D148" s="134"/>
      <c r="E148" s="134"/>
      <c r="F148" s="135"/>
      <c r="G148" s="136" t="s">
        <v>174</v>
      </c>
      <c r="H148" s="134"/>
      <c r="I148" s="135"/>
      <c r="J148" s="91">
        <f>COUNTIF(Data!$L$2:$L$500,"Один раз")+COUNTIF(Data!$L$2:$L$500,"2–5 разів")+COUNTIF(Data!$L$2:$L$500,"6 разів і більше")</f>
        <v>18</v>
      </c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</row>
    <row r="149" spans="1:30">
      <c r="A149" s="78">
        <v>2</v>
      </c>
      <c r="B149" s="155" t="s">
        <v>175</v>
      </c>
      <c r="C149" s="134"/>
      <c r="D149" s="134"/>
      <c r="E149" s="134"/>
      <c r="F149" s="135"/>
      <c r="G149" s="76" t="s">
        <v>17</v>
      </c>
      <c r="H149" s="92">
        <f>COUNTIF(Data!$AY$2:$AY$500,1)/(COUNTIF(Data!$AY$2:$AY$500,1)+COUNTIF(Data!$AY$2:$AY$500,2))</f>
        <v>0.94117647058823528</v>
      </c>
      <c r="I149" s="93" t="s">
        <v>20</v>
      </c>
      <c r="J149" s="94">
        <f>COUNTIF(Data!$AY$2:$AY$500,2)/(COUNTIF(Data!$AY$2:$AY$500,1)+COUNTIF(Data!$AY$2:$AY$500,2))</f>
        <v>5.8823529411764705E-2</v>
      </c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</row>
    <row r="150" spans="1:30">
      <c r="A150" s="75">
        <v>3</v>
      </c>
      <c r="B150" s="155" t="s">
        <v>176</v>
      </c>
      <c r="C150" s="134"/>
      <c r="D150" s="134"/>
      <c r="E150" s="134"/>
      <c r="F150" s="135"/>
      <c r="G150" s="76" t="s">
        <v>17</v>
      </c>
      <c r="H150" s="92">
        <f>COUNTIF(Data!$BA$2:$BA$500,1)/(COUNTIF(Data!$BA$2:$BA$500,1)+COUNTIF(Data!$BA$2:$BA$500,2))</f>
        <v>1</v>
      </c>
      <c r="I150" s="93" t="s">
        <v>20</v>
      </c>
      <c r="J150" s="94">
        <f>COUNTIF(Data!$BA$2:$BA$500,2)/(COUNTIF(Data!$BA$2:$BA$500,1)+COUNTIF(Data!$BA$2:$BA$500,2))</f>
        <v>0</v>
      </c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</row>
    <row r="151" spans="1:30">
      <c r="A151" s="78">
        <v>4</v>
      </c>
      <c r="B151" s="155" t="s">
        <v>177</v>
      </c>
      <c r="C151" s="134"/>
      <c r="D151" s="134"/>
      <c r="E151" s="134"/>
      <c r="F151" s="135"/>
      <c r="G151" s="76" t="s">
        <v>17</v>
      </c>
      <c r="H151" s="92">
        <f>COUNTIF(Data!$BB$2:$BB$500,1)/(COUNTIF(Data!$BB$2:$BB$500,1)+COUNTIF(Data!$BB$2:$BB$500,2))</f>
        <v>0.9285714285714286</v>
      </c>
      <c r="I151" s="93" t="s">
        <v>20</v>
      </c>
      <c r="J151" s="94">
        <f>COUNTIF(Data!$BB$2:$BB$500,2)/(COUNTIF(Data!$BB$2:$BB$500,1)+COUNTIF(Data!$BB$2:$BB$500,2))</f>
        <v>7.1428571428571425E-2</v>
      </c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</row>
    <row r="152" spans="1:30">
      <c r="A152" s="75">
        <v>5</v>
      </c>
      <c r="B152" s="155" t="s">
        <v>179</v>
      </c>
      <c r="C152" s="134"/>
      <c r="D152" s="134"/>
      <c r="E152" s="134"/>
      <c r="F152" s="135"/>
      <c r="G152" s="136" t="s">
        <v>124</v>
      </c>
      <c r="H152" s="134"/>
      <c r="I152" s="135"/>
      <c r="J152" s="102">
        <f>((COUNTIF(Data!$BC$2:$BC$500,1)*1)+(COUNTIF(Data!$BC$2:$BC$500,2)*2)+(COUNTIF(Data!$BC$2:$BC$500,3)*3)+(COUNTIF(Data!$BC$2:$BC$500,4)*4)+(COUNTIF(Data!$BC$2:$BC$500,5)*5))/(COUNTIF(Data!$BC$2:$BC$500,1)+COUNTIF(Data!$BC$2:$BC$500,2)+COUNTIF(Data!$BC$2:$BC$500,3)+COUNTIF(Data!$BC$2:$BC$500,4)+COUNTIF(Data!$BC$2:$BC$500,5))</f>
        <v>4.2</v>
      </c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</row>
    <row r="153" spans="1:30">
      <c r="A153" s="78">
        <v>6</v>
      </c>
      <c r="B153" s="155" t="s">
        <v>183</v>
      </c>
      <c r="C153" s="134"/>
      <c r="D153" s="134"/>
      <c r="E153" s="134"/>
      <c r="F153" s="135"/>
      <c r="G153" s="136" t="s">
        <v>124</v>
      </c>
      <c r="H153" s="134"/>
      <c r="I153" s="135"/>
      <c r="J153" s="102">
        <f>((COUNTIF(Data!$BD$2:$BD$500,1)*1)+(COUNTIF(Data!$BD$2:$BD$500,2)*2)+(COUNTIF(Data!$BD$2:$BD$500,3)*3)+(COUNTIF(Data!$BD$2:$BD$500,4)*4)+(COUNTIF(Data!$BD$2:$BD$500,5)*5))/(COUNTIF(Data!$BD$2:$BD$500,1)+COUNTIF(Data!$BD$2:$BD$500,2)+COUNTIF(Data!$BD$2:$BD$500,3)+COUNTIF(Data!$BD$2:$BD$500,4)+COUNTIF(Data!$BD$2:$BD$500,5))</f>
        <v>4.0526315789473681</v>
      </c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</row>
    <row r="154" spans="1:30">
      <c r="A154" s="75">
        <v>7</v>
      </c>
      <c r="B154" s="155" t="s">
        <v>184</v>
      </c>
      <c r="C154" s="134"/>
      <c r="D154" s="134"/>
      <c r="E154" s="134"/>
      <c r="F154" s="135"/>
      <c r="G154" s="136" t="s">
        <v>185</v>
      </c>
      <c r="H154" s="134"/>
      <c r="I154" s="135"/>
      <c r="J154" s="102">
        <f>((SUMIFS(Data!$BE$2:$BE$500,Data!$L$2:$L$500,"Один раз"))+(SUMIFS(Data!$BE$2:$BE$500,Data!$L$2:$L$500,"2–5 разів"))+(SUMIFS(Data!$BE$2:$BE$500,Data!$L$2:$L$500,"6 разів і більше")))/$J$148</f>
        <v>5.2777777777777777</v>
      </c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</row>
    <row r="155" spans="1:30">
      <c r="A155" s="78">
        <v>8</v>
      </c>
      <c r="B155" s="155" t="s">
        <v>186</v>
      </c>
      <c r="C155" s="134"/>
      <c r="D155" s="134"/>
      <c r="E155" s="134"/>
      <c r="F155" s="135"/>
      <c r="G155" s="136" t="s">
        <v>185</v>
      </c>
      <c r="H155" s="134"/>
      <c r="I155" s="135"/>
      <c r="J155" s="107">
        <f>SUM(Data!$BF$2:$BF$500)/$J$148</f>
        <v>0.27777777777777779</v>
      </c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</row>
    <row r="156" spans="1:30">
      <c r="A156" s="75">
        <v>9</v>
      </c>
      <c r="B156" s="155" t="s">
        <v>187</v>
      </c>
      <c r="C156" s="134"/>
      <c r="D156" s="134"/>
      <c r="E156" s="134"/>
      <c r="F156" s="135"/>
      <c r="G156" s="136" t="s">
        <v>185</v>
      </c>
      <c r="H156" s="134"/>
      <c r="I156" s="135"/>
      <c r="J156" s="107">
        <f>SUM(Data!$BG$2:$BG$500)/$J$148</f>
        <v>2.6666666666666665</v>
      </c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</row>
    <row r="157" spans="1:30" ht="12.7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</row>
    <row r="158" spans="1:30" ht="12.7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</row>
    <row r="159" spans="1:30" ht="12.7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</row>
    <row r="160" spans="1:30" ht="12.7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</row>
    <row r="161" spans="1:30" ht="18.75">
      <c r="B161" s="108" t="s">
        <v>188</v>
      </c>
      <c r="C161" s="6"/>
      <c r="D161" s="6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</row>
    <row r="162" spans="1:30" ht="15">
      <c r="A162" s="12"/>
      <c r="B162" s="3"/>
      <c r="C162" s="3"/>
      <c r="D162" s="3"/>
      <c r="E162" s="3"/>
      <c r="F162" s="3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</row>
    <row r="163" spans="1:30" ht="13.5">
      <c r="B163" s="156" t="s">
        <v>189</v>
      </c>
      <c r="C163" s="149"/>
      <c r="D163" s="149"/>
      <c r="E163" s="149"/>
      <c r="F163" s="149"/>
      <c r="G163" s="149"/>
      <c r="H163" s="149"/>
      <c r="I163" s="149"/>
      <c r="J163" s="149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</row>
    <row r="164" spans="1:30" ht="14.25">
      <c r="B164" s="13"/>
      <c r="C164" s="14" t="s">
        <v>4</v>
      </c>
      <c r="D164" s="15" t="s">
        <v>5</v>
      </c>
      <c r="E164" s="1"/>
      <c r="F164" s="1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</row>
    <row r="165" spans="1:30" ht="15">
      <c r="B165" s="17" t="s">
        <v>17</v>
      </c>
      <c r="C165" s="19">
        <f>COUNTIF(Data!BI$2:BI$500,1)</f>
        <v>11</v>
      </c>
      <c r="D165" s="20">
        <f>C165/COUNT(Data!$A$2:$A$500)</f>
        <v>0.36666666666666664</v>
      </c>
      <c r="E165" s="1"/>
      <c r="F165" s="1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</row>
    <row r="166" spans="1:30" ht="15">
      <c r="B166" s="17" t="s">
        <v>20</v>
      </c>
      <c r="C166" s="19">
        <f>COUNTIF(Data!BI$2:BI$500,2)</f>
        <v>7</v>
      </c>
      <c r="D166" s="20">
        <f>C166/COUNT(Data!$A$2:$A$500)</f>
        <v>0.23333333333333334</v>
      </c>
      <c r="E166" s="1"/>
      <c r="F166" s="1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</row>
    <row r="167" spans="1:30" ht="15">
      <c r="B167" s="17" t="s">
        <v>190</v>
      </c>
      <c r="C167" s="19">
        <f>COUNTIF(Data!BI$2:BI$500,9)</f>
        <v>12</v>
      </c>
      <c r="D167" s="20">
        <f>C167/COUNT(Data!$A$2:$A$500)</f>
        <v>0.4</v>
      </c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</row>
    <row r="168" spans="1:30" ht="12.7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</row>
    <row r="169" spans="1:30" ht="13.5">
      <c r="A169" s="4"/>
      <c r="B169" s="156" t="s">
        <v>192</v>
      </c>
      <c r="C169" s="149"/>
      <c r="D169" s="149"/>
      <c r="E169" s="149"/>
      <c r="F169" s="149"/>
      <c r="G169" s="149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</row>
    <row r="170" spans="1:30" ht="15">
      <c r="A170" s="4"/>
      <c r="B170" s="13"/>
      <c r="C170" s="36" t="s">
        <v>4</v>
      </c>
      <c r="D170" s="37" t="s">
        <v>5</v>
      </c>
      <c r="E170" s="3"/>
      <c r="F170" s="1"/>
      <c r="G170" s="1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</row>
    <row r="171" spans="1:30">
      <c r="A171" s="4"/>
      <c r="B171" s="109" t="s">
        <v>193</v>
      </c>
      <c r="C171" s="19">
        <f>COUNTIF(Data!BJ$2:BJ$500,"Кращі, ніж очікував (-ла)")</f>
        <v>6</v>
      </c>
      <c r="D171" s="110">
        <f>C171/COUNT(Data!$A$2:$A$500)</f>
        <v>0.2</v>
      </c>
      <c r="E171" s="3"/>
      <c r="F171" s="1"/>
      <c r="G171" s="1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</row>
    <row r="172" spans="1:30">
      <c r="A172" s="4"/>
      <c r="B172" s="109" t="s">
        <v>194</v>
      </c>
      <c r="C172" s="19">
        <f>COUNTIF(Data!BJ$2:BJ$500,"Гірші, ніж очікував (-ла)")</f>
        <v>4</v>
      </c>
      <c r="D172" s="110">
        <f>C172/COUNT(Data!$A$2:$A$500)</f>
        <v>0.13333333333333333</v>
      </c>
      <c r="E172" s="3"/>
      <c r="F172" s="1"/>
      <c r="G172" s="1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</row>
    <row r="173" spans="1:30">
      <c r="A173" s="4"/>
      <c r="B173" s="109" t="s">
        <v>195</v>
      </c>
      <c r="C173" s="19">
        <f>COUNTIF(Data!BJ$2:BJ$500,"Відповідають очікуванням")</f>
        <v>16</v>
      </c>
      <c r="D173" s="110">
        <f>C173/COUNT(Data!$A$2:$A$500)</f>
        <v>0.53333333333333333</v>
      </c>
      <c r="E173" s="3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</row>
    <row r="174" spans="1:30">
      <c r="A174" s="4"/>
      <c r="B174" s="111" t="s">
        <v>190</v>
      </c>
      <c r="C174" s="19">
        <f>COUNTIF(Data!BJ$2:BJ$500,"КН")</f>
        <v>4</v>
      </c>
      <c r="D174" s="110">
        <f>C174/COUNT(Data!$A$2:$A$500)</f>
        <v>0.13333333333333333</v>
      </c>
      <c r="E174" s="3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</row>
    <row r="175" spans="1:30" ht="12.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</row>
    <row r="176" spans="1:30" ht="13.5">
      <c r="A176" s="4"/>
      <c r="B176" s="156" t="s">
        <v>196</v>
      </c>
      <c r="C176" s="149"/>
      <c r="D176" s="149"/>
      <c r="E176" s="149"/>
      <c r="F176" s="149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</row>
    <row r="177" spans="1:30" ht="15">
      <c r="A177" s="4"/>
      <c r="B177" s="13"/>
      <c r="C177" s="36" t="s">
        <v>4</v>
      </c>
      <c r="D177" s="37" t="s">
        <v>5</v>
      </c>
      <c r="E177" s="3"/>
      <c r="F177" s="1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</row>
    <row r="178" spans="1:30">
      <c r="A178" s="4"/>
      <c r="B178" s="109" t="s">
        <v>197</v>
      </c>
      <c r="C178" s="19">
        <f>COUNTIF(Data!$BK$2:$BK$500,"Покращилась значно")</f>
        <v>9</v>
      </c>
      <c r="D178" s="110">
        <f>C178/COUNT(Data!$A$2:$A$500)</f>
        <v>0.3</v>
      </c>
      <c r="E178" s="3"/>
      <c r="F178" s="1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</row>
    <row r="179" spans="1:30">
      <c r="A179" s="4"/>
      <c r="B179" s="109" t="s">
        <v>198</v>
      </c>
      <c r="C179" s="19">
        <f>COUNTIF(Data!$BK$2:$BK$500,"Покращилась несуттєво")</f>
        <v>3</v>
      </c>
      <c r="D179" s="110">
        <f>C179/COUNT(Data!$A$2:$A$500)</f>
        <v>0.1</v>
      </c>
      <c r="E179" s="3"/>
      <c r="F179" s="1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</row>
    <row r="180" spans="1:30">
      <c r="A180" s="4"/>
      <c r="B180" s="109" t="s">
        <v>200</v>
      </c>
      <c r="C180" s="19">
        <f>COUNTIF(Data!$BK$2:$BK$500,"Залишилась без змін")</f>
        <v>10</v>
      </c>
      <c r="D180" s="110">
        <f>C180/COUNT(Data!$A$2:$A$500)</f>
        <v>0.33333333333333331</v>
      </c>
      <c r="E180" s="3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</row>
    <row r="181" spans="1:30">
      <c r="A181" s="4"/>
      <c r="B181" s="109" t="s">
        <v>201</v>
      </c>
      <c r="C181" s="19">
        <f>COUNTIF(Data!$BK$2:$BK$500,"Дещо погіршилася")</f>
        <v>0</v>
      </c>
      <c r="D181" s="110">
        <f>C181/COUNT(Data!$A$2:$A$500)</f>
        <v>0</v>
      </c>
      <c r="E181" s="3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</row>
    <row r="182" spans="1:30">
      <c r="A182" s="4"/>
      <c r="B182" s="109" t="s">
        <v>202</v>
      </c>
      <c r="C182" s="19">
        <f>COUNTIF(Data!$BK$2:$BK$500,"Значно погіршилася")</f>
        <v>0</v>
      </c>
      <c r="D182" s="110">
        <f>C182/COUNT(Data!$A$2:$A$500)</f>
        <v>0</v>
      </c>
      <c r="E182" s="1"/>
      <c r="F182" s="1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</row>
    <row r="183" spans="1:30">
      <c r="A183" s="4"/>
      <c r="B183" s="109" t="s">
        <v>206</v>
      </c>
      <c r="C183" s="19">
        <f>COUNTIF(Data!$BK$2:$BK$500,"Важко сказати")</f>
        <v>3</v>
      </c>
      <c r="D183" s="110">
        <f>C183/COUNT(Data!$A$2:$A$500)</f>
        <v>0.1</v>
      </c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</row>
    <row r="184" spans="1:30">
      <c r="A184" s="4"/>
      <c r="B184" s="111" t="s">
        <v>190</v>
      </c>
      <c r="C184" s="19">
        <f>COUNTIF(Data!$BK$2:$BK$500,"КН")</f>
        <v>5</v>
      </c>
      <c r="D184" s="110">
        <f>C184/COUNT(Data!$A$2:$A$500)</f>
        <v>0.16666666666666666</v>
      </c>
      <c r="E184" s="1"/>
      <c r="F184" s="1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</row>
    <row r="185" spans="1:30" ht="12.7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</row>
    <row r="186" spans="1:30" ht="13.5">
      <c r="A186" s="4"/>
      <c r="B186" s="156" t="s">
        <v>208</v>
      </c>
      <c r="C186" s="149"/>
      <c r="D186" s="149"/>
      <c r="E186" s="149"/>
      <c r="F186" s="149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</row>
    <row r="187" spans="1:30" ht="15">
      <c r="A187" s="4"/>
      <c r="B187" s="13"/>
      <c r="C187" s="14" t="s">
        <v>4</v>
      </c>
      <c r="D187" s="15" t="s">
        <v>5</v>
      </c>
      <c r="E187" s="3"/>
      <c r="F187" s="1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</row>
    <row r="188" spans="1:30" ht="15">
      <c r="A188" s="4"/>
      <c r="B188" s="17" t="s">
        <v>17</v>
      </c>
      <c r="C188" s="19">
        <f>COUNTIF(Data!BL$2:BL$500,"Так")</f>
        <v>16</v>
      </c>
      <c r="D188" s="20">
        <f>C188/COUNT(Data!$A$2:$A$500)</f>
        <v>0.53333333333333333</v>
      </c>
      <c r="E188" s="3"/>
      <c r="F188" s="1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</row>
    <row r="189" spans="1:30" ht="15">
      <c r="A189" s="4"/>
      <c r="B189" s="17" t="s">
        <v>20</v>
      </c>
      <c r="C189" s="19">
        <f>COUNTIF(Data!BL$2:BL$500,"Ні")</f>
        <v>13</v>
      </c>
      <c r="D189" s="20">
        <f>C189/COUNT(Data!$A$2:$A$500)</f>
        <v>0.43333333333333335</v>
      </c>
      <c r="E189" s="3"/>
      <c r="F189" s="1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</row>
    <row r="190" spans="1:30">
      <c r="A190" s="4"/>
      <c r="B190" s="111" t="s">
        <v>190</v>
      </c>
      <c r="C190" s="19">
        <f>COUNTIF(Data!BL$2:BL$500,"КН")</f>
        <v>1</v>
      </c>
      <c r="D190" s="20">
        <f>C190/COUNT(Data!$A$2:$A$500)</f>
        <v>3.3333333333333333E-2</v>
      </c>
      <c r="E190" s="3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</row>
    <row r="191" spans="1:30" ht="12.75">
      <c r="A191" s="4"/>
      <c r="B191" s="1"/>
      <c r="C191" s="1"/>
      <c r="D191" s="25"/>
      <c r="F191" s="1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</row>
    <row r="192" spans="1:30" ht="13.5">
      <c r="A192" s="4"/>
      <c r="B192" s="156" t="s">
        <v>209</v>
      </c>
      <c r="C192" s="149"/>
      <c r="D192" s="149"/>
      <c r="E192" s="149"/>
      <c r="F192" s="149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</row>
    <row r="193" spans="1:30" ht="15">
      <c r="A193" s="4"/>
      <c r="B193" s="13"/>
      <c r="C193" s="14" t="s">
        <v>4</v>
      </c>
      <c r="D193" s="15" t="s">
        <v>5</v>
      </c>
      <c r="E193" s="3"/>
      <c r="F193" s="1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</row>
    <row r="194" spans="1:30" ht="15">
      <c r="A194" s="4"/>
      <c r="B194" s="17" t="s">
        <v>17</v>
      </c>
      <c r="C194" s="19">
        <f>COUNTIF(Data!$BM$2:$BM$500,"Так")</f>
        <v>3</v>
      </c>
      <c r="D194" s="20">
        <f>C194/COUNT(Data!$A$2:$A$500)</f>
        <v>0.1</v>
      </c>
      <c r="E194" s="3"/>
      <c r="F194" s="1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</row>
    <row r="195" spans="1:30" ht="15">
      <c r="A195" s="4"/>
      <c r="B195" s="17" t="s">
        <v>20</v>
      </c>
      <c r="C195" s="19">
        <f>COUNTIF(Data!$BM$2:$BM$500,"Ні")</f>
        <v>20</v>
      </c>
      <c r="D195" s="20">
        <f>C195/COUNT(Data!$A$2:$A$500)</f>
        <v>0.66666666666666663</v>
      </c>
      <c r="E195" s="3"/>
      <c r="F195" s="1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</row>
    <row r="196" spans="1:30">
      <c r="A196" s="4"/>
      <c r="B196" s="111" t="s">
        <v>190</v>
      </c>
      <c r="C196" s="19">
        <f>COUNTIF(Data!$BM$2:$BM$500,"КН")</f>
        <v>7</v>
      </c>
      <c r="D196" s="20">
        <f>C196/COUNT(Data!$A$2:$A$500)</f>
        <v>0.23333333333333334</v>
      </c>
      <c r="E196" s="3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</row>
    <row r="197" spans="1:30" ht="12.7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</row>
    <row r="198" spans="1:30">
      <c r="A198" s="4"/>
      <c r="B198" s="158" t="s">
        <v>210</v>
      </c>
      <c r="C198" s="134"/>
      <c r="D198" s="51" t="s">
        <v>4</v>
      </c>
      <c r="E198" s="1"/>
      <c r="F198" s="1"/>
      <c r="G198" s="1"/>
      <c r="H198" s="1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</row>
    <row r="199" spans="1:30">
      <c r="A199" s="4"/>
      <c r="B199" s="157">
        <v>5</v>
      </c>
      <c r="C199" s="134"/>
      <c r="D199" s="23">
        <f>COUNTIF(Data!BN$2:BN$500,5)</f>
        <v>2</v>
      </c>
      <c r="E199" s="1"/>
      <c r="F199" s="1"/>
      <c r="G199" s="1"/>
      <c r="H199" s="25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</row>
    <row r="200" spans="1:30">
      <c r="A200" s="4"/>
      <c r="B200" s="157">
        <v>4</v>
      </c>
      <c r="C200" s="134"/>
      <c r="D200" s="23">
        <f>COUNTIF(Data!BN$2:BN$500,4)</f>
        <v>1</v>
      </c>
      <c r="E200" s="1"/>
      <c r="F200" s="1"/>
      <c r="G200" s="1"/>
      <c r="H200" s="25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</row>
    <row r="201" spans="1:30">
      <c r="A201" s="4"/>
      <c r="B201" s="157">
        <v>3</v>
      </c>
      <c r="C201" s="134"/>
      <c r="D201" s="23">
        <f>COUNTIF(Data!BN$2:BN$500,3)</f>
        <v>0</v>
      </c>
      <c r="E201" s="1"/>
      <c r="F201" s="1"/>
      <c r="G201" s="1"/>
      <c r="H201" s="25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</row>
    <row r="202" spans="1:30">
      <c r="A202" s="4"/>
      <c r="B202" s="157">
        <v>2</v>
      </c>
      <c r="C202" s="134"/>
      <c r="D202" s="23">
        <f>COUNTIF(Data!BN$2:BN$500,2)</f>
        <v>0</v>
      </c>
      <c r="E202" s="1"/>
      <c r="F202" s="1"/>
      <c r="G202" s="1"/>
      <c r="H202" s="25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</row>
    <row r="203" spans="1:30">
      <c r="A203" s="4"/>
      <c r="B203" s="157">
        <v>1</v>
      </c>
      <c r="C203" s="134"/>
      <c r="D203" s="23">
        <f>COUNTIF(Data!BN$2:BN$500,1)</f>
        <v>0</v>
      </c>
      <c r="E203" s="1"/>
      <c r="F203" s="1"/>
      <c r="G203" s="1"/>
      <c r="H203" s="25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</row>
    <row r="204" spans="1:30">
      <c r="A204" s="4"/>
      <c r="B204" s="157" t="s">
        <v>190</v>
      </c>
      <c r="C204" s="134"/>
      <c r="D204" s="23">
        <f>COUNTIF(Data!BN$2:BN$500,9)</f>
        <v>0</v>
      </c>
      <c r="E204" s="1"/>
      <c r="F204" s="1"/>
      <c r="G204" s="1"/>
      <c r="H204" s="25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</row>
    <row r="205" spans="1:30">
      <c r="A205" s="4"/>
      <c r="B205" s="157" t="s">
        <v>69</v>
      </c>
      <c r="C205" s="134"/>
      <c r="D205" s="55">
        <f>((D199*5)+(D200*4)+(D201*3)+(D202*2)+(D203*1))/SUM(D199:D203)</f>
        <v>4.666666666666667</v>
      </c>
      <c r="E205" s="1"/>
      <c r="F205" s="1"/>
      <c r="G205" s="56"/>
      <c r="H205" s="1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</row>
    <row r="206" spans="1:30" ht="12.7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</row>
    <row r="207" spans="1:30" ht="12.7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</row>
    <row r="208" spans="1:30" ht="12.7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</row>
    <row r="209" spans="1:30" ht="12.7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</row>
    <row r="210" spans="1:30" ht="12.7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</row>
    <row r="211" spans="1:30" ht="12.7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</row>
    <row r="212" spans="1:30" ht="12.7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</row>
    <row r="213" spans="1:30" ht="12.7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</row>
    <row r="214" spans="1:30" ht="12.7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</row>
    <row r="215" spans="1:30" ht="12.7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</row>
    <row r="216" spans="1:30" ht="12.7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</row>
    <row r="217" spans="1:30" ht="12.7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</row>
    <row r="218" spans="1:30" ht="12.7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</row>
    <row r="219" spans="1:30" ht="12.7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</row>
    <row r="220" spans="1:30" ht="12.7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</row>
    <row r="221" spans="1:30" ht="12.7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</row>
    <row r="222" spans="1:30" ht="12.7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</row>
    <row r="223" spans="1:30" ht="12.7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</row>
    <row r="224" spans="1:30" ht="12.7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</row>
    <row r="225" spans="1:30" ht="12.7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</row>
    <row r="226" spans="1:30" ht="12.7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</row>
    <row r="227" spans="1:30" ht="12.7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</row>
    <row r="228" spans="1:30" ht="12.7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</row>
    <row r="229" spans="1:30" ht="12.7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</row>
    <row r="230" spans="1:30" ht="12.7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</row>
    <row r="231" spans="1:30" ht="12.7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</row>
    <row r="232" spans="1:30" ht="12.7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</row>
    <row r="233" spans="1:30" ht="12.7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</row>
    <row r="234" spans="1:30" ht="12.7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</row>
    <row r="235" spans="1:30" ht="12.7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</row>
    <row r="236" spans="1:30" ht="12.7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</row>
    <row r="237" spans="1:30" ht="12.7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</row>
    <row r="238" spans="1:30" ht="12.7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</row>
    <row r="239" spans="1:30" ht="12.7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</row>
    <row r="240" spans="1:30" ht="12.7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</row>
    <row r="241" spans="1:30" ht="12.7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</row>
    <row r="242" spans="1:30" ht="12.7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</row>
    <row r="243" spans="1:30" ht="12.7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</row>
    <row r="244" spans="1:30" ht="12.7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</row>
    <row r="245" spans="1:30" ht="12.7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</row>
    <row r="246" spans="1:30" ht="12.7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</row>
    <row r="247" spans="1:30" ht="12.7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</row>
    <row r="248" spans="1:30" ht="12.7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</row>
    <row r="249" spans="1:30" ht="12.7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</row>
    <row r="250" spans="1:30" ht="12.7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</row>
    <row r="251" spans="1:30" ht="12.7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</row>
    <row r="252" spans="1:30" ht="12.7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</row>
    <row r="253" spans="1:30" ht="12.7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</row>
    <row r="254" spans="1:30" ht="12.7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</row>
    <row r="255" spans="1:30" ht="12.7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</row>
    <row r="256" spans="1:30" ht="12.7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</row>
    <row r="257" spans="1:30" ht="12.7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</row>
    <row r="258" spans="1:30" ht="12.7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</row>
    <row r="259" spans="1:30" ht="12.7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</row>
    <row r="260" spans="1:30" ht="12.7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</row>
    <row r="261" spans="1:30" ht="12.7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</row>
    <row r="262" spans="1:30" ht="12.7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</row>
    <row r="263" spans="1:30" ht="12.7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</row>
    <row r="264" spans="1:30" ht="12.7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</row>
    <row r="265" spans="1:30" ht="12.7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</row>
    <row r="266" spans="1:30" ht="12.7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</row>
    <row r="267" spans="1:30" ht="12.7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</row>
    <row r="268" spans="1:30" ht="12.7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</row>
    <row r="269" spans="1:30" ht="12.7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</row>
    <row r="270" spans="1:30" ht="12.7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</row>
    <row r="271" spans="1:30" ht="12.7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</row>
    <row r="272" spans="1:30" ht="12.7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</row>
    <row r="273" spans="1:30" ht="12.7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</row>
    <row r="274" spans="1:30" ht="12.7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</row>
    <row r="275" spans="1:30" ht="12.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</row>
    <row r="276" spans="1:30" ht="12.7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</row>
    <row r="277" spans="1:30" ht="12.7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</row>
    <row r="278" spans="1:30" ht="12.7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</row>
    <row r="279" spans="1:30" ht="12.7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</row>
    <row r="280" spans="1:30" ht="12.7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</row>
    <row r="281" spans="1:30" ht="12.7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</row>
    <row r="282" spans="1:30" ht="12.7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</row>
    <row r="283" spans="1:30" ht="12.7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</row>
    <row r="284" spans="1:30" ht="12.7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</row>
    <row r="285" spans="1:30" ht="12.7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</row>
    <row r="286" spans="1:30" ht="12.7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</row>
    <row r="287" spans="1:30" ht="12.7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</row>
    <row r="288" spans="1:30" ht="12.7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</row>
    <row r="289" spans="1:30" ht="12.7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</row>
    <row r="290" spans="1:30" ht="12.7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</row>
    <row r="291" spans="1:30" ht="12.7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</row>
    <row r="292" spans="1:30" ht="12.7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</row>
    <row r="293" spans="1:30" ht="12.7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</row>
    <row r="294" spans="1:30" ht="12.7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</row>
    <row r="295" spans="1:30" ht="12.7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</row>
    <row r="296" spans="1:30" ht="12.7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</row>
    <row r="297" spans="1:30" ht="12.7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</row>
    <row r="298" spans="1:30" ht="12.7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</row>
    <row r="299" spans="1:30" ht="12.7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</row>
    <row r="300" spans="1:30" ht="12.7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</row>
    <row r="301" spans="1:30" ht="12.7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</row>
    <row r="302" spans="1:30" ht="12.7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</row>
    <row r="303" spans="1:30" ht="12.7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</row>
    <row r="304" spans="1:30" ht="12.7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</row>
    <row r="305" spans="1:30" ht="12.7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</row>
    <row r="306" spans="1:30" ht="12.7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</row>
    <row r="307" spans="1:30" ht="12.7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</row>
    <row r="308" spans="1:30" ht="12.7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</row>
    <row r="309" spans="1:30" ht="12.7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</row>
    <row r="310" spans="1:30" ht="12.7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</row>
    <row r="311" spans="1:30" ht="12.7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</row>
    <row r="312" spans="1:30" ht="12.7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</row>
    <row r="313" spans="1:30" ht="12.7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</row>
    <row r="314" spans="1:30" ht="12.7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</row>
    <row r="315" spans="1:30" ht="12.7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</row>
    <row r="316" spans="1:30" ht="12.7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</row>
    <row r="317" spans="1:30" ht="12.7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</row>
    <row r="318" spans="1:30" ht="12.7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</row>
    <row r="319" spans="1:30" ht="12.7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</row>
    <row r="320" spans="1:30" ht="12.7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</row>
    <row r="321" spans="1:30" ht="12.7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</row>
    <row r="322" spans="1:30" ht="12.7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</row>
    <row r="323" spans="1:30" ht="12.7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</row>
    <row r="324" spans="1:30" ht="12.7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</row>
    <row r="325" spans="1:30" ht="12.7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</row>
    <row r="326" spans="1:30" ht="12.7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</row>
    <row r="327" spans="1:30" ht="12.7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</row>
    <row r="328" spans="1:30" ht="12.7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</row>
    <row r="329" spans="1:30" ht="12.7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</row>
    <row r="330" spans="1:30" ht="12.7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</row>
    <row r="331" spans="1:30" ht="12.7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</row>
    <row r="332" spans="1:30" ht="12.7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</row>
    <row r="333" spans="1:30" ht="12.7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</row>
    <row r="334" spans="1:30" ht="12.7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</row>
    <row r="335" spans="1:30" ht="12.7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</row>
    <row r="336" spans="1:30" ht="12.7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</row>
    <row r="337" spans="1:30" ht="12.7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</row>
    <row r="338" spans="1:30" ht="12.7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</row>
    <row r="339" spans="1:30" ht="12.7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</row>
    <row r="340" spans="1:30" ht="12.7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</row>
    <row r="341" spans="1:30" ht="12.7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</row>
    <row r="342" spans="1:30" ht="12.7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</row>
    <row r="343" spans="1:30" ht="12.7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</row>
    <row r="344" spans="1:30" ht="12.7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</row>
    <row r="345" spans="1:30" ht="12.7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</row>
    <row r="346" spans="1:30" ht="12.7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</row>
    <row r="347" spans="1:30" ht="12.7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</row>
    <row r="348" spans="1:30" ht="12.7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</row>
    <row r="349" spans="1:30" ht="12.7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</row>
    <row r="350" spans="1:30" ht="12.7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</row>
    <row r="351" spans="1:30" ht="12.7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</row>
    <row r="352" spans="1:30" ht="12.7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</row>
    <row r="353" spans="1:30" ht="12.7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</row>
    <row r="354" spans="1:30" ht="12.7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</row>
    <row r="355" spans="1:30" ht="12.7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</row>
    <row r="356" spans="1:30" ht="12.7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</row>
    <row r="357" spans="1:30" ht="12.7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</row>
    <row r="358" spans="1:30" ht="12.7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</row>
    <row r="359" spans="1:30" ht="12.7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</row>
    <row r="360" spans="1:30" ht="12.7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</row>
    <row r="361" spans="1:30" ht="12.7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</row>
    <row r="362" spans="1:30" ht="12.7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</row>
    <row r="363" spans="1:30" ht="12.7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</row>
    <row r="364" spans="1:30" ht="12.7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</row>
    <row r="365" spans="1:30" ht="12.7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</row>
    <row r="366" spans="1:30" ht="12.7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</row>
    <row r="367" spans="1:30" ht="12.7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</row>
    <row r="368" spans="1:30" ht="12.7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</row>
    <row r="369" spans="1:30" ht="12.7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</row>
    <row r="370" spans="1:30" ht="12.7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</row>
    <row r="371" spans="1:30" ht="12.7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</row>
    <row r="372" spans="1:30" ht="12.7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</row>
    <row r="373" spans="1:30" ht="12.7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</row>
    <row r="374" spans="1:30" ht="12.7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</row>
    <row r="375" spans="1:30" ht="12.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</row>
    <row r="376" spans="1:30" ht="12.7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</row>
    <row r="377" spans="1:30" ht="12.7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</row>
    <row r="378" spans="1:30" ht="12.7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</row>
    <row r="379" spans="1:30" ht="12.7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</row>
    <row r="380" spans="1:30" ht="12.7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</row>
    <row r="381" spans="1:30" ht="12.7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</row>
    <row r="382" spans="1:30" ht="12.7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</row>
    <row r="383" spans="1:30" ht="12.7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</row>
    <row r="384" spans="1:30" ht="12.7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</row>
    <row r="385" spans="1:30" ht="12.7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</row>
    <row r="386" spans="1:30" ht="12.7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</row>
    <row r="387" spans="1:30" ht="12.7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</row>
    <row r="388" spans="1:30" ht="12.7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</row>
    <row r="389" spans="1:30" ht="12.7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</row>
    <row r="390" spans="1:30" ht="12.7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</row>
    <row r="391" spans="1:30" ht="12.7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</row>
    <row r="392" spans="1:30" ht="12.7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</row>
    <row r="393" spans="1:30" ht="12.7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</row>
    <row r="394" spans="1:30" ht="12.7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</row>
    <row r="395" spans="1:30" ht="12.7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</row>
    <row r="396" spans="1:30" ht="12.7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</row>
    <row r="397" spans="1:30" ht="12.7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</row>
    <row r="398" spans="1:30" ht="12.7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</row>
    <row r="399" spans="1:30" ht="12.7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</row>
    <row r="400" spans="1:30" ht="12.7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</row>
    <row r="401" spans="1:30" ht="12.7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</row>
    <row r="402" spans="1:30" ht="12.7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</row>
    <row r="403" spans="1:30" ht="12.7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</row>
    <row r="404" spans="1:30" ht="12.7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</row>
    <row r="405" spans="1:30" ht="12.7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</row>
    <row r="406" spans="1:30" ht="12.7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</row>
    <row r="407" spans="1:30" ht="12.7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</row>
    <row r="408" spans="1:30" ht="12.7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</row>
    <row r="409" spans="1:30" ht="12.7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</row>
    <row r="410" spans="1:30" ht="12.7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</row>
    <row r="411" spans="1:30" ht="12.7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</row>
    <row r="412" spans="1:30" ht="12.7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</row>
    <row r="413" spans="1:30" ht="12.7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</row>
    <row r="414" spans="1:30" ht="12.7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</row>
    <row r="415" spans="1:30" ht="12.7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</row>
    <row r="416" spans="1:30" ht="12.7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</row>
    <row r="417" spans="1:30" ht="12.7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</row>
    <row r="418" spans="1:30" ht="12.7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</row>
    <row r="419" spans="1:30" ht="12.7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</row>
    <row r="420" spans="1:30" ht="12.7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</row>
    <row r="421" spans="1:30" ht="12.7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</row>
    <row r="422" spans="1:30" ht="12.7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</row>
    <row r="423" spans="1:30" ht="12.7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</row>
    <row r="424" spans="1:30" ht="12.7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</row>
    <row r="425" spans="1:30" ht="12.7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</row>
    <row r="426" spans="1:30" ht="12.7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</row>
    <row r="427" spans="1:30" ht="12.7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</row>
    <row r="428" spans="1:30" ht="12.7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</row>
    <row r="429" spans="1:30" ht="12.7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</row>
    <row r="430" spans="1:30" ht="12.7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</row>
    <row r="431" spans="1:30" ht="12.7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</row>
    <row r="432" spans="1:30" ht="12.7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</row>
    <row r="433" spans="1:30" ht="12.7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</row>
    <row r="434" spans="1:30" ht="12.7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</row>
    <row r="435" spans="1:30" ht="12.7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</row>
    <row r="436" spans="1:30" ht="12.7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</row>
    <row r="437" spans="1:30" ht="12.7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</row>
    <row r="438" spans="1:30" ht="12.7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</row>
    <row r="439" spans="1:30" ht="12.7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</row>
    <row r="440" spans="1:30" ht="12.7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</row>
    <row r="441" spans="1:30" ht="12.7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</row>
    <row r="442" spans="1:30" ht="12.7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</row>
    <row r="443" spans="1:30" ht="12.7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</row>
    <row r="444" spans="1:30" ht="12.7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</row>
    <row r="445" spans="1:30" ht="12.7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</row>
    <row r="446" spans="1:30" ht="12.7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</row>
    <row r="447" spans="1:30" ht="12.7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</row>
    <row r="448" spans="1:30" ht="12.7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</row>
    <row r="449" spans="1:30" ht="12.7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</row>
    <row r="450" spans="1:30" ht="12.7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</row>
    <row r="451" spans="1:30" ht="12.7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</row>
    <row r="452" spans="1:30" ht="12.7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</row>
    <row r="453" spans="1:30" ht="12.7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</row>
    <row r="454" spans="1:30" ht="12.7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</row>
    <row r="455" spans="1:30" ht="12.7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</row>
    <row r="456" spans="1:30" ht="12.7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</row>
    <row r="457" spans="1:30" ht="12.7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</row>
    <row r="458" spans="1:30" ht="12.7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</row>
    <row r="459" spans="1:30" ht="12.7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</row>
    <row r="460" spans="1:30" ht="12.7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</row>
    <row r="461" spans="1:30" ht="12.7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</row>
    <row r="462" spans="1:30" ht="12.7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</row>
    <row r="463" spans="1:30" ht="12.7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</row>
    <row r="464" spans="1:30" ht="12.7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</row>
    <row r="465" spans="1:30" ht="12.7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</row>
    <row r="466" spans="1:30" ht="12.7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</row>
    <row r="467" spans="1:30" ht="12.7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</row>
    <row r="468" spans="1:30" ht="12.7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</row>
    <row r="469" spans="1:30" ht="12.7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</row>
    <row r="470" spans="1:30" ht="12.7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</row>
    <row r="471" spans="1:30" ht="12.7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</row>
    <row r="472" spans="1:30" ht="12.7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</row>
    <row r="473" spans="1:30" ht="12.7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</row>
    <row r="474" spans="1:30" ht="12.7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</row>
    <row r="475" spans="1:30" ht="12.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</row>
    <row r="476" spans="1:30" ht="12.7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</row>
    <row r="477" spans="1:30" ht="12.7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</row>
    <row r="478" spans="1:30" ht="12.7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</row>
    <row r="479" spans="1:30" ht="12.7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</row>
    <row r="480" spans="1:30" ht="12.7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</row>
    <row r="481" spans="1:30" ht="12.7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</row>
    <row r="482" spans="1:30" ht="12.7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</row>
    <row r="483" spans="1:30" ht="12.7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</row>
    <row r="484" spans="1:30" ht="12.7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</row>
    <row r="485" spans="1:30" ht="12.7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</row>
    <row r="486" spans="1:30" ht="12.7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</row>
    <row r="487" spans="1:30" ht="12.7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</row>
    <row r="488" spans="1:30" ht="12.7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</row>
    <row r="489" spans="1:30" ht="12.7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</row>
    <row r="490" spans="1:30" ht="12.7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</row>
    <row r="491" spans="1:30" ht="12.7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</row>
    <row r="492" spans="1:30" ht="12.7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</row>
    <row r="493" spans="1:30" ht="12.7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</row>
    <row r="494" spans="1:30" ht="12.7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</row>
    <row r="495" spans="1:30" ht="12.7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</row>
    <row r="496" spans="1:30" ht="12.7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</row>
    <row r="497" spans="1:30" ht="12.7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</row>
    <row r="498" spans="1:30" ht="12.7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</row>
    <row r="499" spans="1:30" ht="12.7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</row>
    <row r="500" spans="1:30" ht="12.7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</row>
    <row r="501" spans="1:30" ht="12.7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</row>
    <row r="502" spans="1:30" ht="12.7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</row>
    <row r="503" spans="1:30" ht="12.7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</row>
    <row r="504" spans="1:30" ht="12.7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</row>
    <row r="505" spans="1:30" ht="12.7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</row>
    <row r="506" spans="1:30" ht="12.7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</row>
    <row r="507" spans="1:30" ht="12.7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</row>
    <row r="508" spans="1:30" ht="12.7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</row>
    <row r="509" spans="1:30" ht="12.7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</row>
    <row r="510" spans="1:30" ht="12.7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</row>
    <row r="511" spans="1:30" ht="12.7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</row>
    <row r="512" spans="1:30" ht="12.7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</row>
    <row r="513" spans="1:30" ht="12.7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</row>
    <row r="514" spans="1:30" ht="12.7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</row>
    <row r="515" spans="1:30" ht="12.7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</row>
    <row r="516" spans="1:30" ht="12.7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</row>
    <row r="517" spans="1:30" ht="12.7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</row>
    <row r="518" spans="1:30" ht="12.7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</row>
    <row r="519" spans="1:30" ht="12.7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</row>
    <row r="520" spans="1:30" ht="12.7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</row>
    <row r="521" spans="1:30" ht="12.7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</row>
    <row r="522" spans="1:30" ht="12.7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</row>
    <row r="523" spans="1:30" ht="12.7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</row>
    <row r="524" spans="1:30" ht="12.7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</row>
    <row r="525" spans="1:30" ht="12.7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</row>
    <row r="526" spans="1:30" ht="12.7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</row>
    <row r="527" spans="1:30" ht="12.7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</row>
    <row r="528" spans="1:30" ht="12.7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</row>
    <row r="529" spans="1:30" ht="12.7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</row>
    <row r="530" spans="1:30" ht="12.7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</row>
    <row r="531" spans="1:30" ht="12.7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</row>
    <row r="532" spans="1:30" ht="12.7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</row>
    <row r="533" spans="1:30" ht="12.7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</row>
    <row r="534" spans="1:30" ht="12.7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</row>
    <row r="535" spans="1:30" ht="12.7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</row>
    <row r="536" spans="1:30" ht="12.7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</row>
    <row r="537" spans="1:30" ht="12.7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</row>
    <row r="538" spans="1:30" ht="12.7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</row>
    <row r="539" spans="1:30" ht="12.7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</row>
    <row r="540" spans="1:30" ht="12.7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</row>
    <row r="541" spans="1:30" ht="12.7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</row>
    <row r="542" spans="1:30" ht="12.7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</row>
    <row r="543" spans="1:30" ht="12.7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</row>
    <row r="544" spans="1:30" ht="12.7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</row>
    <row r="545" spans="1:30" ht="12.7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</row>
    <row r="546" spans="1:30" ht="12.7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</row>
    <row r="547" spans="1:30" ht="12.7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</row>
    <row r="548" spans="1:30" ht="12.7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</row>
    <row r="549" spans="1:30" ht="12.7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</row>
    <row r="550" spans="1:30" ht="12.7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</row>
    <row r="551" spans="1:30" ht="12.7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</row>
    <row r="552" spans="1:30" ht="12.7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</row>
    <row r="553" spans="1:30" ht="12.7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</row>
    <row r="554" spans="1:30" ht="12.7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</row>
    <row r="555" spans="1:30" ht="12.7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</row>
    <row r="556" spans="1:30" ht="12.7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</row>
    <row r="557" spans="1:30" ht="12.7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</row>
    <row r="558" spans="1:30" ht="12.7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</row>
    <row r="559" spans="1:30" ht="12.7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</row>
    <row r="560" spans="1:30" ht="12.7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</row>
    <row r="561" spans="1:30" ht="12.7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</row>
    <row r="562" spans="1:30" ht="12.7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</row>
    <row r="563" spans="1:30" ht="12.7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</row>
    <row r="564" spans="1:30" ht="12.7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</row>
    <row r="565" spans="1:30" ht="12.7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</row>
    <row r="566" spans="1:30" ht="12.7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</row>
    <row r="567" spans="1:30" ht="12.7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</row>
    <row r="568" spans="1:30" ht="12.7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</row>
    <row r="569" spans="1:30" ht="12.7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</row>
    <row r="570" spans="1:30" ht="12.7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</row>
    <row r="571" spans="1:30" ht="12.7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</row>
    <row r="572" spans="1:30" ht="12.7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</row>
    <row r="573" spans="1:30" ht="12.7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</row>
    <row r="574" spans="1:30" ht="12.7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</row>
    <row r="575" spans="1:30" ht="12.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</row>
    <row r="576" spans="1:30" ht="12.7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</row>
    <row r="577" spans="1:30" ht="12.7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</row>
    <row r="578" spans="1:30" ht="12.7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</row>
    <row r="579" spans="1:30" ht="12.7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</row>
    <row r="580" spans="1:30" ht="12.7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</row>
    <row r="581" spans="1:30" ht="12.7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</row>
    <row r="582" spans="1:30" ht="12.7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</row>
    <row r="583" spans="1:30" ht="12.7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</row>
    <row r="584" spans="1:30" ht="12.7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</row>
    <row r="585" spans="1:30" ht="12.7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</row>
    <row r="586" spans="1:30" ht="12.7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</row>
    <row r="587" spans="1:30" ht="12.7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</row>
    <row r="588" spans="1:30" ht="12.7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</row>
    <row r="589" spans="1:30" ht="12.7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</row>
    <row r="590" spans="1:30" ht="12.7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</row>
    <row r="591" spans="1:30" ht="12.7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</row>
    <row r="592" spans="1:30" ht="12.7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</row>
    <row r="593" spans="1:30" ht="12.7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</row>
    <row r="594" spans="1:30" ht="12.7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</row>
    <row r="595" spans="1:30" ht="12.7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</row>
    <row r="596" spans="1:30" ht="12.7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</row>
    <row r="597" spans="1:30" ht="12.7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</row>
    <row r="598" spans="1:30" ht="12.7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</row>
    <row r="599" spans="1:30" ht="12.7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</row>
    <row r="600" spans="1:30" ht="12.7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</row>
    <row r="601" spans="1:30" ht="12.7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</row>
    <row r="602" spans="1:30" ht="12.7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</row>
    <row r="603" spans="1:30" ht="12.7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</row>
    <row r="604" spans="1:30" ht="12.7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</row>
    <row r="605" spans="1:30" ht="12.7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</row>
    <row r="606" spans="1:30" ht="12.7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</row>
    <row r="607" spans="1:30" ht="12.7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</row>
    <row r="608" spans="1:30" ht="12.7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</row>
    <row r="609" spans="1:30" ht="12.7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</row>
    <row r="610" spans="1:30" ht="12.7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</row>
    <row r="611" spans="1:30" ht="12.7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</row>
    <row r="612" spans="1:30" ht="12.7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</row>
    <row r="613" spans="1:30" ht="12.7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</row>
    <row r="614" spans="1:30" ht="12.7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</row>
    <row r="615" spans="1:30" ht="12.7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</row>
    <row r="616" spans="1:30" ht="12.7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</row>
    <row r="617" spans="1:30" ht="12.7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</row>
    <row r="618" spans="1:30" ht="12.7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</row>
    <row r="619" spans="1:30" ht="12.7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</row>
    <row r="620" spans="1:30" ht="12.7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</row>
    <row r="621" spans="1:30" ht="12.7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</row>
    <row r="622" spans="1:30" ht="12.7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</row>
    <row r="623" spans="1:30" ht="12.7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</row>
    <row r="624" spans="1:30" ht="12.7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</row>
    <row r="625" spans="1:30" ht="12.7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</row>
    <row r="626" spans="1:30" ht="12.7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</row>
    <row r="627" spans="1:30" ht="12.7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</row>
    <row r="628" spans="1:30" ht="12.7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</row>
    <row r="629" spans="1:30" ht="12.7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</row>
    <row r="630" spans="1:30" ht="12.7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</row>
    <row r="631" spans="1:30" ht="12.7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</row>
    <row r="632" spans="1:30" ht="12.7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</row>
    <row r="633" spans="1:30" ht="12.7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</row>
    <row r="634" spans="1:30" ht="12.7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</row>
    <row r="635" spans="1:30" ht="12.7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</row>
    <row r="636" spans="1:30" ht="12.7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</row>
    <row r="637" spans="1:30" ht="12.7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</row>
    <row r="638" spans="1:30" ht="12.7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</row>
    <row r="639" spans="1:30" ht="12.7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</row>
    <row r="640" spans="1:30" ht="12.7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</row>
    <row r="641" spans="1:30" ht="12.7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</row>
    <row r="642" spans="1:30" ht="12.7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</row>
    <row r="643" spans="1:30" ht="12.7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</row>
    <row r="644" spans="1:30" ht="12.7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</row>
    <row r="645" spans="1:30" ht="12.7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</row>
    <row r="646" spans="1:30" ht="12.7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</row>
    <row r="647" spans="1:30" ht="12.7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</row>
    <row r="648" spans="1:30" ht="12.7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</row>
    <row r="649" spans="1:30" ht="12.7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</row>
    <row r="650" spans="1:30" ht="12.7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</row>
    <row r="651" spans="1:30" ht="12.7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</row>
    <row r="652" spans="1:30" ht="12.7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</row>
    <row r="653" spans="1:30" ht="12.7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</row>
    <row r="654" spans="1:30" ht="12.7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</row>
    <row r="655" spans="1:30" ht="12.7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</row>
    <row r="656" spans="1:30" ht="12.7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</row>
    <row r="657" spans="1:30" ht="12.7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</row>
    <row r="658" spans="1:30" ht="12.7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</row>
    <row r="659" spans="1:30" ht="12.7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</row>
    <row r="660" spans="1:30" ht="12.7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</row>
    <row r="661" spans="1:30" ht="12.7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</row>
    <row r="662" spans="1:30" ht="12.7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</row>
    <row r="663" spans="1:30" ht="12.7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</row>
    <row r="664" spans="1:30" ht="12.7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</row>
    <row r="665" spans="1:30" ht="12.7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</row>
    <row r="666" spans="1:30" ht="12.7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</row>
    <row r="667" spans="1:30" ht="12.7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</row>
    <row r="668" spans="1:30" ht="12.7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</row>
    <row r="669" spans="1:30" ht="12.7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</row>
    <row r="670" spans="1:30" ht="12.7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</row>
    <row r="671" spans="1:30" ht="12.7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</row>
    <row r="672" spans="1:30" ht="12.7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</row>
    <row r="673" spans="1:30" ht="12.7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</row>
    <row r="674" spans="1:30" ht="12.7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</row>
    <row r="675" spans="1:30" ht="12.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</row>
    <row r="676" spans="1:30" ht="12.7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</row>
    <row r="677" spans="1:30" ht="12.7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</row>
    <row r="678" spans="1:30" ht="12.7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</row>
    <row r="679" spans="1:30" ht="12.7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</row>
    <row r="680" spans="1:30" ht="12.7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</row>
    <row r="681" spans="1:30" ht="12.7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</row>
    <row r="682" spans="1:30" ht="12.7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</row>
    <row r="683" spans="1:30" ht="12.7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</row>
    <row r="684" spans="1:30" ht="12.7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</row>
    <row r="685" spans="1:30" ht="12.7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</row>
    <row r="686" spans="1:30" ht="12.7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</row>
    <row r="687" spans="1:30" ht="12.7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</row>
    <row r="688" spans="1:30" ht="12.7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</row>
    <row r="689" spans="1:30" ht="12.7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</row>
    <row r="690" spans="1:30" ht="12.7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</row>
    <row r="691" spans="1:30" ht="12.7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</row>
    <row r="692" spans="1:30" ht="12.7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</row>
    <row r="693" spans="1:30" ht="12.7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</row>
    <row r="694" spans="1:30" ht="12.7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</row>
    <row r="695" spans="1:30" ht="12.7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</row>
    <row r="696" spans="1:30" ht="12.7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</row>
    <row r="697" spans="1:30" ht="12.7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</row>
    <row r="698" spans="1:30" ht="12.7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</row>
    <row r="699" spans="1:30" ht="12.7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</row>
    <row r="700" spans="1:30" ht="12.7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</row>
    <row r="701" spans="1:30" ht="12.7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</row>
    <row r="702" spans="1:30" ht="12.7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</row>
    <row r="703" spans="1:30" ht="12.7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</row>
    <row r="704" spans="1:30" ht="12.7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</row>
    <row r="705" spans="1:30" ht="12.7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</row>
    <row r="706" spans="1:30" ht="12.7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</row>
    <row r="707" spans="1:30" ht="12.7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</row>
    <row r="708" spans="1:30" ht="12.7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</row>
    <row r="709" spans="1:30" ht="12.7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</row>
    <row r="710" spans="1:30" ht="12.7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</row>
    <row r="711" spans="1:30" ht="12.7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</row>
    <row r="712" spans="1:30" ht="12.7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</row>
    <row r="713" spans="1:30" ht="12.7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</row>
    <row r="714" spans="1:30" ht="12.7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</row>
    <row r="715" spans="1:30" ht="12.7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</row>
    <row r="716" spans="1:30" ht="12.7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</row>
    <row r="717" spans="1:30" ht="12.7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</row>
    <row r="718" spans="1:30" ht="12.7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</row>
    <row r="719" spans="1:30" ht="12.7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</row>
    <row r="720" spans="1:30" ht="12.7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</row>
    <row r="721" spans="1:30" ht="12.7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</row>
    <row r="722" spans="1:30" ht="12.7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</row>
    <row r="723" spans="1:30" ht="12.7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</row>
    <row r="724" spans="1:30" ht="12.7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</row>
    <row r="725" spans="1:30" ht="12.7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</row>
    <row r="726" spans="1:30" ht="12.7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</row>
    <row r="727" spans="1:30" ht="12.7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</row>
    <row r="728" spans="1:30" ht="12.7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</row>
    <row r="729" spans="1:30" ht="12.7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</row>
    <row r="730" spans="1:30" ht="12.7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</row>
    <row r="731" spans="1:30" ht="12.7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</row>
    <row r="732" spans="1:30" ht="12.7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</row>
    <row r="733" spans="1:30" ht="12.7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</row>
    <row r="734" spans="1:30" ht="12.7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</row>
    <row r="735" spans="1:30" ht="12.7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</row>
    <row r="736" spans="1:30" ht="12.7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</row>
    <row r="737" spans="1:30" ht="12.7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</row>
    <row r="738" spans="1:30" ht="12.7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</row>
    <row r="739" spans="1:30" ht="12.7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</row>
    <row r="740" spans="1:30" ht="12.7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</row>
    <row r="741" spans="1:30" ht="12.7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</row>
    <row r="742" spans="1:30" ht="12.7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</row>
    <row r="743" spans="1:30" ht="12.7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</row>
    <row r="744" spans="1:30" ht="12.7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</row>
    <row r="745" spans="1:30" ht="12.7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</row>
    <row r="746" spans="1:30" ht="12.7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</row>
    <row r="747" spans="1:30" ht="12.7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</row>
    <row r="748" spans="1:30" ht="12.7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</row>
    <row r="749" spans="1:30" ht="12.7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</row>
    <row r="750" spans="1:30" ht="12.7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</row>
    <row r="751" spans="1:30" ht="12.7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</row>
    <row r="752" spans="1:30" ht="12.7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</row>
    <row r="753" spans="1:30" ht="12.7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</row>
    <row r="754" spans="1:30" ht="12.7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</row>
    <row r="755" spans="1:30" ht="12.7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</row>
    <row r="756" spans="1:30" ht="12.7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</row>
    <row r="757" spans="1:30" ht="12.7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</row>
    <row r="758" spans="1:30" ht="12.7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</row>
    <row r="759" spans="1:30" ht="12.7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</row>
    <row r="760" spans="1:30" ht="12.7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</row>
    <row r="761" spans="1:30" ht="12.7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</row>
    <row r="762" spans="1:30" ht="12.7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</row>
    <row r="763" spans="1:30" ht="12.7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</row>
    <row r="764" spans="1:30" ht="12.7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</row>
    <row r="765" spans="1:30" ht="12.7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</row>
    <row r="766" spans="1:30" ht="12.7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</row>
    <row r="767" spans="1:30" ht="12.7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</row>
    <row r="768" spans="1:30" ht="12.7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</row>
    <row r="769" spans="1:30" ht="12.7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</row>
    <row r="770" spans="1:30" ht="12.7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</row>
    <row r="771" spans="1:30" ht="12.7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</row>
    <row r="772" spans="1:30" ht="12.7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</row>
    <row r="773" spans="1:30" ht="12.7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</row>
    <row r="774" spans="1:30" ht="12.7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</row>
    <row r="775" spans="1:30" ht="12.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</row>
    <row r="776" spans="1:30" ht="12.7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</row>
    <row r="777" spans="1:30" ht="12.7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</row>
    <row r="778" spans="1:30" ht="12.7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</row>
    <row r="779" spans="1:30" ht="12.7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</row>
    <row r="780" spans="1:30" ht="12.7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</row>
    <row r="781" spans="1:30" ht="12.7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</row>
    <row r="782" spans="1:30" ht="12.7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</row>
    <row r="783" spans="1:30" ht="12.7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</row>
    <row r="784" spans="1:30" ht="12.7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</row>
    <row r="785" spans="1:30" ht="12.7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</row>
    <row r="786" spans="1:30" ht="12.7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</row>
    <row r="787" spans="1:30" ht="12.7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</row>
    <row r="788" spans="1:30" ht="12.7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</row>
    <row r="789" spans="1:30" ht="12.7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</row>
    <row r="790" spans="1:30" ht="12.7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</row>
    <row r="791" spans="1:30" ht="12.7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</row>
    <row r="792" spans="1:30" ht="12.7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</row>
    <row r="793" spans="1:30" ht="12.7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</row>
    <row r="794" spans="1:30" ht="12.7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</row>
    <row r="795" spans="1:30" ht="12.7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</row>
    <row r="796" spans="1:30" ht="12.7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</row>
    <row r="797" spans="1:30" ht="12.7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</row>
    <row r="798" spans="1:30" ht="12.7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</row>
    <row r="799" spans="1:30" ht="12.7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</row>
    <row r="800" spans="1:30" ht="12.7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</row>
    <row r="801" spans="1:30" ht="12.7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</row>
    <row r="802" spans="1:30" ht="12.7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</row>
    <row r="803" spans="1:30" ht="12.7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</row>
    <row r="804" spans="1:30" ht="12.7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</row>
    <row r="805" spans="1:30" ht="12.7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</row>
    <row r="806" spans="1:30" ht="12.7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</row>
    <row r="807" spans="1:30" ht="12.7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</row>
    <row r="808" spans="1:30" ht="12.7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</row>
    <row r="809" spans="1:30" ht="12.7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</row>
    <row r="810" spans="1:30" ht="12.7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</row>
    <row r="811" spans="1:30" ht="12.7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</row>
    <row r="812" spans="1:30" ht="12.7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</row>
    <row r="813" spans="1:30" ht="12.7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</row>
    <row r="814" spans="1:30" ht="12.7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</row>
    <row r="815" spans="1:30" ht="12.7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</row>
    <row r="816" spans="1:30" ht="12.7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</row>
    <row r="817" spans="1:30" ht="12.7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</row>
    <row r="818" spans="1:30" ht="12.7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</row>
    <row r="819" spans="1:30" ht="12.7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</row>
    <row r="820" spans="1:30" ht="12.7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</row>
    <row r="821" spans="1:30" ht="12.7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</row>
    <row r="822" spans="1:30" ht="12.7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</row>
    <row r="823" spans="1:30" ht="12.7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</row>
    <row r="824" spans="1:30" ht="12.7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</row>
    <row r="825" spans="1:30" ht="12.7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</row>
    <row r="826" spans="1:30" ht="12.7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</row>
    <row r="827" spans="1:30" ht="12.7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</row>
    <row r="828" spans="1:30" ht="12.7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</row>
    <row r="829" spans="1:30" ht="12.7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</row>
    <row r="830" spans="1:30" ht="12.7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</row>
    <row r="831" spans="1:30" ht="12.7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</row>
    <row r="832" spans="1:30" ht="12.7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</row>
    <row r="833" spans="1:30" ht="12.7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</row>
    <row r="834" spans="1:30" ht="12.7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</row>
    <row r="835" spans="1:30" ht="12.7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</row>
    <row r="836" spans="1:30" ht="12.7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</row>
    <row r="837" spans="1:30" ht="12.7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</row>
    <row r="838" spans="1:30" ht="12.7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</row>
    <row r="839" spans="1:30" ht="12.7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</row>
    <row r="840" spans="1:30" ht="12.7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</row>
    <row r="841" spans="1:30" ht="12.7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</row>
    <row r="842" spans="1:30" ht="12.7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</row>
    <row r="843" spans="1:30" ht="12.7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</row>
    <row r="844" spans="1:30" ht="12.7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</row>
    <row r="845" spans="1:30" ht="12.7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</row>
    <row r="846" spans="1:30" ht="12.7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</row>
    <row r="847" spans="1:30" ht="12.7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</row>
    <row r="848" spans="1:30" ht="12.7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</row>
    <row r="849" spans="1:30" ht="12.7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</row>
    <row r="850" spans="1:30" ht="12.7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</row>
    <row r="851" spans="1:30" ht="12.7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</row>
    <row r="852" spans="1:30" ht="12.7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</row>
    <row r="853" spans="1:30" ht="12.7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</row>
    <row r="854" spans="1:30" ht="12.7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</row>
    <row r="855" spans="1:30" ht="12.7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</row>
    <row r="856" spans="1:30" ht="12.7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</row>
    <row r="857" spans="1:30" ht="12.7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</row>
    <row r="858" spans="1:30" ht="12.7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</row>
    <row r="859" spans="1:30" ht="12.7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</row>
    <row r="860" spans="1:30" ht="12.7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</row>
    <row r="861" spans="1:30" ht="12.7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</row>
    <row r="862" spans="1:30" ht="12.7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</row>
    <row r="863" spans="1:30" ht="12.7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</row>
    <row r="864" spans="1:30" ht="12.7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</row>
    <row r="865" spans="1:30" ht="12.7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</row>
    <row r="866" spans="1:30" ht="12.7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</row>
    <row r="867" spans="1:30" ht="12.7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</row>
    <row r="868" spans="1:30" ht="12.7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</row>
    <row r="869" spans="1:30" ht="12.7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</row>
    <row r="870" spans="1:30" ht="12.7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</row>
    <row r="871" spans="1:30" ht="12.7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</row>
    <row r="872" spans="1:30" ht="12.7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</row>
    <row r="873" spans="1:30" ht="12.7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</row>
    <row r="874" spans="1:30" ht="12.7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</row>
    <row r="875" spans="1:30" ht="12.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</row>
    <row r="876" spans="1:30" ht="12.7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</row>
    <row r="877" spans="1:30" ht="12.7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</row>
    <row r="878" spans="1:30" ht="12.7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</row>
    <row r="879" spans="1:30" ht="12.7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</row>
    <row r="880" spans="1:30" ht="12.7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</row>
    <row r="881" spans="1:30" ht="12.7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</row>
    <row r="882" spans="1:30" ht="12.7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</row>
    <row r="883" spans="1:30" ht="12.7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</row>
    <row r="884" spans="1:30" ht="12.7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</row>
    <row r="885" spans="1:30" ht="12.7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</row>
    <row r="886" spans="1:30" ht="12.7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</row>
    <row r="887" spans="1:30" ht="12.7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</row>
    <row r="888" spans="1:30" ht="12.7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</row>
    <row r="889" spans="1:30" ht="12.7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</row>
    <row r="890" spans="1:30" ht="12.7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</row>
    <row r="891" spans="1:30" ht="12.7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</row>
    <row r="892" spans="1:30" ht="12.7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</row>
    <row r="893" spans="1:30" ht="12.7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</row>
    <row r="894" spans="1:30" ht="12.7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</row>
    <row r="895" spans="1:30" ht="12.7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</row>
    <row r="896" spans="1:30" ht="12.7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</row>
    <row r="897" spans="1:30" ht="12.7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</row>
    <row r="898" spans="1:30" ht="12.7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</row>
    <row r="899" spans="1:30" ht="12.7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</row>
    <row r="900" spans="1:30" ht="12.7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</row>
    <row r="901" spans="1:30" ht="12.7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</row>
    <row r="902" spans="1:30" ht="12.7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</row>
    <row r="903" spans="1:30" ht="12.7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</row>
    <row r="904" spans="1:30" ht="12.7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</row>
    <row r="905" spans="1:30" ht="12.7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</row>
    <row r="906" spans="1:30" ht="12.7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</row>
    <row r="907" spans="1:30" ht="12.7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</row>
    <row r="908" spans="1:30" ht="12.7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</row>
    <row r="909" spans="1:30" ht="12.7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</row>
    <row r="910" spans="1:30" ht="12.7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</row>
    <row r="911" spans="1:30" ht="12.7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</row>
    <row r="912" spans="1:30" ht="12.7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</row>
    <row r="913" spans="1:30" ht="12.7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</row>
    <row r="914" spans="1:30" ht="12.7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</row>
    <row r="915" spans="1:30" ht="12.7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</row>
    <row r="916" spans="1:30" ht="12.7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</row>
    <row r="917" spans="1:30" ht="12.7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</row>
    <row r="918" spans="1:30" ht="12.7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</row>
    <row r="919" spans="1:30" ht="12.7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</row>
  </sheetData>
  <mergeCells count="141">
    <mergeCell ref="B142:F142"/>
    <mergeCell ref="B143:F143"/>
    <mergeCell ref="G140:I140"/>
    <mergeCell ref="B140:F140"/>
    <mergeCell ref="B146:J146"/>
    <mergeCell ref="G143:I143"/>
    <mergeCell ref="G142:I142"/>
    <mergeCell ref="B141:F141"/>
    <mergeCell ref="G141:I141"/>
    <mergeCell ref="G153:I153"/>
    <mergeCell ref="G154:I154"/>
    <mergeCell ref="G155:I155"/>
    <mergeCell ref="G156:I156"/>
    <mergeCell ref="B163:J163"/>
    <mergeCell ref="G152:I152"/>
    <mergeCell ref="G147:I147"/>
    <mergeCell ref="G148:I148"/>
    <mergeCell ref="B149:F149"/>
    <mergeCell ref="B150:F150"/>
    <mergeCell ref="B148:F148"/>
    <mergeCell ref="B147:F147"/>
    <mergeCell ref="B151:F151"/>
    <mergeCell ref="B153:F153"/>
    <mergeCell ref="B154:F154"/>
    <mergeCell ref="B152:F152"/>
    <mergeCell ref="B123:F123"/>
    <mergeCell ref="B122:F122"/>
    <mergeCell ref="G122:I122"/>
    <mergeCell ref="G121:I121"/>
    <mergeCell ref="B117:F117"/>
    <mergeCell ref="B118:F118"/>
    <mergeCell ref="B129:F129"/>
    <mergeCell ref="B121:F121"/>
    <mergeCell ref="B124:F124"/>
    <mergeCell ref="B128:F128"/>
    <mergeCell ref="G129:I129"/>
    <mergeCell ref="G128:I128"/>
    <mergeCell ref="B120:F120"/>
    <mergeCell ref="G120:I120"/>
    <mergeCell ref="G123:I123"/>
    <mergeCell ref="G124:I124"/>
    <mergeCell ref="B119:F119"/>
    <mergeCell ref="G118:I118"/>
    <mergeCell ref="G119:I119"/>
    <mergeCell ref="G117:I117"/>
    <mergeCell ref="B176:F176"/>
    <mergeCell ref="B169:G169"/>
    <mergeCell ref="B199:C199"/>
    <mergeCell ref="B200:C200"/>
    <mergeCell ref="B203:C203"/>
    <mergeCell ref="B204:C204"/>
    <mergeCell ref="B205:C205"/>
    <mergeCell ref="B155:F155"/>
    <mergeCell ref="B202:C202"/>
    <mergeCell ref="B201:C201"/>
    <mergeCell ref="B198:C198"/>
    <mergeCell ref="B192:F192"/>
    <mergeCell ref="B186:F186"/>
    <mergeCell ref="B156:F156"/>
    <mergeCell ref="B139:F139"/>
    <mergeCell ref="B138:F138"/>
    <mergeCell ref="B131:F131"/>
    <mergeCell ref="G131:I131"/>
    <mergeCell ref="B130:F130"/>
    <mergeCell ref="G132:I132"/>
    <mergeCell ref="G133:I133"/>
    <mergeCell ref="G139:I139"/>
    <mergeCell ref="B132:F132"/>
    <mergeCell ref="B133:F133"/>
    <mergeCell ref="G138:I138"/>
    <mergeCell ref="G130:I130"/>
    <mergeCell ref="G137:I137"/>
    <mergeCell ref="B137:F137"/>
    <mergeCell ref="B25:D25"/>
    <mergeCell ref="B21:D21"/>
    <mergeCell ref="B30:D30"/>
    <mergeCell ref="B36:D36"/>
    <mergeCell ref="B78:F78"/>
    <mergeCell ref="B11:D11"/>
    <mergeCell ref="B14:D14"/>
    <mergeCell ref="B3:D3"/>
    <mergeCell ref="B8:D8"/>
    <mergeCell ref="G78:I78"/>
    <mergeCell ref="G79:I79"/>
    <mergeCell ref="G80:I80"/>
    <mergeCell ref="G81:I81"/>
    <mergeCell ref="G87:I87"/>
    <mergeCell ref="G86:I86"/>
    <mergeCell ref="B94:F94"/>
    <mergeCell ref="B92:F92"/>
    <mergeCell ref="G95:I95"/>
    <mergeCell ref="B90:I90"/>
    <mergeCell ref="B95:F95"/>
    <mergeCell ref="B88:F88"/>
    <mergeCell ref="B89:F89"/>
    <mergeCell ref="B91:F91"/>
    <mergeCell ref="G94:I94"/>
    <mergeCell ref="G88:I88"/>
    <mergeCell ref="B109:F109"/>
    <mergeCell ref="G109:I109"/>
    <mergeCell ref="B85:F85"/>
    <mergeCell ref="B86:F86"/>
    <mergeCell ref="B83:F83"/>
    <mergeCell ref="B87:F87"/>
    <mergeCell ref="B84:F84"/>
    <mergeCell ref="B79:F79"/>
    <mergeCell ref="B80:F80"/>
    <mergeCell ref="B81:F81"/>
    <mergeCell ref="B82:F82"/>
    <mergeCell ref="G84:I84"/>
    <mergeCell ref="G85:I85"/>
    <mergeCell ref="G82:I82"/>
    <mergeCell ref="G83:I83"/>
    <mergeCell ref="G96:I96"/>
    <mergeCell ref="G97:I97"/>
    <mergeCell ref="B96:F96"/>
    <mergeCell ref="B97:F97"/>
    <mergeCell ref="B110:F110"/>
    <mergeCell ref="G108:I108"/>
    <mergeCell ref="B113:F113"/>
    <mergeCell ref="G104:I104"/>
    <mergeCell ref="G105:I105"/>
    <mergeCell ref="G98:I98"/>
    <mergeCell ref="G99:I99"/>
    <mergeCell ref="B106:F106"/>
    <mergeCell ref="B105:F105"/>
    <mergeCell ref="B107:F107"/>
    <mergeCell ref="B104:F104"/>
    <mergeCell ref="B103:F103"/>
    <mergeCell ref="B99:F99"/>
    <mergeCell ref="G103:I103"/>
    <mergeCell ref="G106:I106"/>
    <mergeCell ref="G107:I107"/>
    <mergeCell ref="B98:F98"/>
    <mergeCell ref="B112:F112"/>
    <mergeCell ref="B111:F111"/>
    <mergeCell ref="G110:I110"/>
    <mergeCell ref="G113:I113"/>
    <mergeCell ref="G111:I111"/>
    <mergeCell ref="G112:I112"/>
    <mergeCell ref="B108:F10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G186"/>
  <sheetViews>
    <sheetView tabSelected="1" workbookViewId="0"/>
  </sheetViews>
  <sheetFormatPr defaultColWidth="14.42578125" defaultRowHeight="15.75" customHeight="1"/>
  <sheetData>
    <row r="1" spans="1:7" ht="15.75" customHeight="1">
      <c r="A1" s="5" t="s">
        <v>0</v>
      </c>
    </row>
    <row r="2" spans="1:7" ht="15.75" customHeight="1">
      <c r="A2" s="9"/>
      <c r="B2" s="9"/>
      <c r="C2" s="9"/>
      <c r="D2" s="9"/>
      <c r="E2" s="9"/>
      <c r="F2" s="9"/>
      <c r="G2" s="9"/>
    </row>
    <row r="3" spans="1:7" ht="15.75" customHeight="1">
      <c r="A3" s="160" t="str">
        <f ca="1">IFERROR(__xludf.DUMMYFUNCTION("query(Data!A2:BY500,""select BH where BH IS NOT NULL"")"),"9")</f>
        <v>9</v>
      </c>
      <c r="B3" s="149"/>
      <c r="C3" s="149"/>
      <c r="D3" s="149"/>
      <c r="E3" s="149"/>
      <c r="F3" s="149"/>
      <c r="G3" s="149"/>
    </row>
    <row r="4" spans="1:7" ht="15.75" customHeight="1">
      <c r="A4" s="160" t="str">
        <f ca="1">IFERROR(__xludf.DUMMYFUNCTION("""COMPUTED_VALUE"""),"Збільшити кількість суддів, працівників та приміщень.")</f>
        <v>Збільшити кількість суддів, працівників та приміщень.</v>
      </c>
      <c r="B4" s="149"/>
      <c r="C4" s="149"/>
      <c r="D4" s="149"/>
      <c r="E4" s="149"/>
      <c r="F4" s="149"/>
      <c r="G4" s="149"/>
    </row>
    <row r="5" spans="1:7" ht="15.75" customHeight="1">
      <c r="A5" s="160" t="str">
        <f ca="1">IFERROR(__xludf.DUMMYFUNCTION("""COMPUTED_VALUE"""),"9")</f>
        <v>9</v>
      </c>
      <c r="B5" s="149"/>
      <c r="C5" s="149"/>
      <c r="D5" s="149"/>
      <c r="E5" s="149"/>
      <c r="F5" s="149"/>
      <c r="G5" s="149"/>
    </row>
    <row r="6" spans="1:7" ht="15.75" customHeight="1">
      <c r="A6" s="160" t="str">
        <f ca="1">IFERROR(__xludf.DUMMYFUNCTION("""COMPUTED_VALUE"""),"9")</f>
        <v>9</v>
      </c>
      <c r="B6" s="149"/>
      <c r="C6" s="149"/>
      <c r="D6" s="149"/>
      <c r="E6" s="149"/>
      <c r="F6" s="149"/>
      <c r="G6" s="149"/>
    </row>
    <row r="7" spans="1:7" ht="15.75" customHeight="1">
      <c r="A7" s="160" t="str">
        <f ca="1">IFERROR(__xludf.DUMMYFUNCTION("""COMPUTED_VALUE"""),"9")</f>
        <v>9</v>
      </c>
      <c r="B7" s="149"/>
      <c r="C7" s="149"/>
      <c r="D7" s="149"/>
      <c r="E7" s="149"/>
      <c r="F7" s="149"/>
      <c r="G7" s="149"/>
    </row>
    <row r="8" spans="1:7" ht="15.75" customHeight="1">
      <c r="A8" s="160" t="str">
        <f ca="1">IFERROR(__xludf.DUMMYFUNCTION("""COMPUTED_VALUE"""),"Збільшити кількість суддів та працівників апарату.")</f>
        <v>Збільшити кількість суддів та працівників апарату.</v>
      </c>
      <c r="B8" s="149"/>
      <c r="C8" s="149"/>
      <c r="D8" s="149"/>
      <c r="E8" s="149"/>
      <c r="F8" s="149"/>
      <c r="G8" s="149"/>
    </row>
    <row r="9" spans="1:7" ht="15.75" customHeight="1">
      <c r="A9" s="160" t="str">
        <f ca="1">IFERROR(__xludf.DUMMYFUNCTION("""COMPUTED_VALUE"""),"Збільшення заробітньої плати для працівників апаратної служби суда.")</f>
        <v>Збільшення заробітньої плати для працівників апаратної служби суда.</v>
      </c>
      <c r="B9" s="149"/>
      <c r="C9" s="149"/>
      <c r="D9" s="149"/>
      <c r="E9" s="149"/>
      <c r="F9" s="149"/>
      <c r="G9" s="149"/>
    </row>
    <row r="10" spans="1:7" ht="15.75" customHeight="1">
      <c r="A10" s="160" t="str">
        <f ca="1">IFERROR(__xludf.DUMMYFUNCTION("""COMPUTED_VALUE"""),"Приміщення для нормальної організації ротоби апарату.")</f>
        <v>Приміщення для нормальної організації ротоби апарату.</v>
      </c>
      <c r="B10" s="149"/>
      <c r="C10" s="149"/>
      <c r="D10" s="149"/>
      <c r="E10" s="149"/>
      <c r="F10" s="149"/>
      <c r="G10" s="149"/>
    </row>
    <row r="11" spans="1:7" ht="15.75" customHeight="1">
      <c r="A11" s="160" t="str">
        <f ca="1">IFERROR(__xludf.DUMMYFUNCTION("""COMPUTED_VALUE"""),"1. Наявність внутрішньої вбиральні.2. Парапет і під'їзд для осіб з обмеженнями.3. Питна вода.")</f>
        <v>1. Наявність внутрішньої вбиральні.2. Парапет і під'їзд для осіб з обмеженнями.3. Питна вода.</v>
      </c>
      <c r="B11" s="149"/>
      <c r="C11" s="149"/>
      <c r="D11" s="149"/>
      <c r="E11" s="149"/>
      <c r="F11" s="149"/>
      <c r="G11" s="149"/>
    </row>
    <row r="12" spans="1:7" ht="15.75" customHeight="1">
      <c r="A12" s="160" t="str">
        <f ca="1">IFERROR(__xludf.DUMMYFUNCTION("""COMPUTED_VALUE"""),"9")</f>
        <v>9</v>
      </c>
      <c r="B12" s="149"/>
      <c r="C12" s="149"/>
      <c r="D12" s="149"/>
      <c r="E12" s="149"/>
      <c r="F12" s="149"/>
      <c r="G12" s="149"/>
    </row>
    <row r="13" spans="1:7" ht="15.75" customHeight="1">
      <c r="A13" s="160" t="str">
        <f ca="1">IFERROR(__xludf.DUMMYFUNCTION("""COMPUTED_VALUE"""),"Більше місць для очікування.")</f>
        <v>Більше місць для очікування.</v>
      </c>
      <c r="B13" s="149"/>
      <c r="C13" s="149"/>
      <c r="D13" s="149"/>
      <c r="E13" s="149"/>
      <c r="F13" s="149"/>
      <c r="G13" s="149"/>
    </row>
    <row r="14" spans="1:7" ht="38.450000000000003" customHeight="1">
      <c r="A14" s="160" t="str">
        <f ca="1">IFERROR(__xludf.DUMMYFUNCTION("""COMPUTED_VALUE"""),"9")</f>
        <v>9</v>
      </c>
      <c r="B14" s="149"/>
      <c r="C14" s="149"/>
      <c r="D14" s="149"/>
      <c r="E14" s="149"/>
      <c r="F14" s="149"/>
      <c r="G14" s="149"/>
    </row>
    <row r="15" spans="1:7" ht="40.9" customHeight="1">
      <c r="A15" s="160" t="str">
        <f ca="1">IFERROR(__xludf.DUMMYFUNCTION("""COMPUTED_VALUE"""),"На мою думку є необхідність призначення суддів на вакантні посади. В цілому роботою суду задоволений, працівники суду професійні, доброзичливі.")</f>
        <v>На мою думку є необхідність призначення суддів на вакантні посади. В цілому роботою суду задоволений, працівники суду професійні, доброзичливі.</v>
      </c>
      <c r="B15" s="149"/>
      <c r="C15" s="149"/>
      <c r="D15" s="149"/>
      <c r="E15" s="149"/>
      <c r="F15" s="149"/>
      <c r="G15" s="149"/>
    </row>
    <row r="16" spans="1:7" ht="15.75" customHeight="1">
      <c r="A16" s="160"/>
      <c r="B16" s="149"/>
      <c r="C16" s="149"/>
      <c r="D16" s="149"/>
      <c r="E16" s="149"/>
      <c r="F16" s="149"/>
      <c r="G16" s="149"/>
    </row>
    <row r="17" spans="1:7" ht="15.75" customHeight="1">
      <c r="A17" s="160"/>
      <c r="B17" s="149"/>
      <c r="C17" s="149"/>
      <c r="D17" s="149"/>
      <c r="E17" s="149"/>
      <c r="F17" s="149"/>
      <c r="G17" s="149"/>
    </row>
    <row r="18" spans="1:7" ht="15.75" customHeight="1">
      <c r="A18" s="160"/>
      <c r="B18" s="149"/>
      <c r="C18" s="149"/>
      <c r="D18" s="149"/>
      <c r="E18" s="149"/>
      <c r="F18" s="149"/>
      <c r="G18" s="149"/>
    </row>
    <row r="19" spans="1:7" ht="15.75" customHeight="1">
      <c r="A19" s="160"/>
      <c r="B19" s="149"/>
      <c r="C19" s="149"/>
      <c r="D19" s="149"/>
      <c r="E19" s="149"/>
      <c r="F19" s="149"/>
      <c r="G19" s="149"/>
    </row>
    <row r="20" spans="1:7" ht="15.75" customHeight="1">
      <c r="A20" s="160"/>
      <c r="B20" s="149"/>
      <c r="C20" s="149"/>
      <c r="D20" s="149"/>
      <c r="E20" s="149"/>
      <c r="F20" s="149"/>
      <c r="G20" s="149"/>
    </row>
    <row r="21" spans="1:7" ht="15.75" customHeight="1">
      <c r="A21" s="160"/>
      <c r="B21" s="149"/>
      <c r="C21" s="149"/>
      <c r="D21" s="149"/>
      <c r="E21" s="149"/>
      <c r="F21" s="149"/>
      <c r="G21" s="149"/>
    </row>
    <row r="22" spans="1:7" ht="15.75" customHeight="1">
      <c r="A22" s="160"/>
      <c r="B22" s="149"/>
      <c r="C22" s="149"/>
      <c r="D22" s="149"/>
      <c r="E22" s="149"/>
      <c r="F22" s="149"/>
      <c r="G22" s="149"/>
    </row>
    <row r="23" spans="1:7" ht="15.75" customHeight="1">
      <c r="A23" s="160"/>
      <c r="B23" s="149"/>
      <c r="C23" s="149"/>
      <c r="D23" s="149"/>
      <c r="E23" s="149"/>
      <c r="F23" s="149"/>
      <c r="G23" s="149"/>
    </row>
    <row r="24" spans="1:7" ht="15.75" customHeight="1">
      <c r="A24" s="160"/>
      <c r="B24" s="149"/>
      <c r="C24" s="149"/>
      <c r="D24" s="149"/>
      <c r="E24" s="149"/>
      <c r="F24" s="149"/>
      <c r="G24" s="149"/>
    </row>
    <row r="25" spans="1:7" ht="15.75" customHeight="1">
      <c r="A25" s="160"/>
      <c r="B25" s="149"/>
      <c r="C25" s="149"/>
      <c r="D25" s="149"/>
      <c r="E25" s="149"/>
      <c r="F25" s="149"/>
      <c r="G25" s="149"/>
    </row>
    <row r="26" spans="1:7" ht="15.75" customHeight="1">
      <c r="A26" s="160"/>
      <c r="B26" s="149"/>
      <c r="C26" s="149"/>
      <c r="D26" s="149"/>
      <c r="E26" s="149"/>
      <c r="F26" s="149"/>
      <c r="G26" s="149"/>
    </row>
    <row r="27" spans="1:7" ht="15.75" customHeight="1">
      <c r="A27" s="160"/>
      <c r="B27" s="149"/>
      <c r="C27" s="149"/>
      <c r="D27" s="149"/>
      <c r="E27" s="149"/>
      <c r="F27" s="149"/>
      <c r="G27" s="149"/>
    </row>
    <row r="28" spans="1:7" ht="12.75">
      <c r="A28" s="160"/>
      <c r="B28" s="149"/>
      <c r="C28" s="149"/>
      <c r="D28" s="149"/>
      <c r="E28" s="149"/>
      <c r="F28" s="149"/>
      <c r="G28" s="149"/>
    </row>
    <row r="29" spans="1:7" ht="12.75">
      <c r="A29" s="160"/>
      <c r="B29" s="149"/>
      <c r="C29" s="149"/>
      <c r="D29" s="149"/>
      <c r="E29" s="149"/>
      <c r="F29" s="149"/>
      <c r="G29" s="149"/>
    </row>
    <row r="30" spans="1:7" ht="12.75">
      <c r="A30" s="160"/>
      <c r="B30" s="149"/>
      <c r="C30" s="149"/>
      <c r="D30" s="149"/>
      <c r="E30" s="149"/>
      <c r="F30" s="149"/>
      <c r="G30" s="149"/>
    </row>
    <row r="31" spans="1:7" ht="12.75">
      <c r="A31" s="160"/>
      <c r="B31" s="149"/>
      <c r="C31" s="149"/>
      <c r="D31" s="149"/>
      <c r="E31" s="149"/>
      <c r="F31" s="149"/>
      <c r="G31" s="149"/>
    </row>
    <row r="32" spans="1:7" ht="12.75">
      <c r="A32" s="160"/>
      <c r="B32" s="149"/>
      <c r="C32" s="149"/>
      <c r="D32" s="149"/>
      <c r="E32" s="149"/>
      <c r="F32" s="149"/>
      <c r="G32" s="149"/>
    </row>
    <row r="33" spans="1:7" ht="12.75">
      <c r="A33" s="160"/>
      <c r="B33" s="149"/>
      <c r="C33" s="149"/>
      <c r="D33" s="149"/>
      <c r="E33" s="149"/>
      <c r="F33" s="149"/>
      <c r="G33" s="149"/>
    </row>
    <row r="34" spans="1:7" ht="12.75">
      <c r="A34" s="160"/>
      <c r="B34" s="149"/>
      <c r="C34" s="149"/>
      <c r="D34" s="149"/>
      <c r="E34" s="149"/>
      <c r="F34" s="149"/>
      <c r="G34" s="149"/>
    </row>
    <row r="35" spans="1:7" ht="12.75">
      <c r="A35" s="160"/>
      <c r="B35" s="149"/>
      <c r="C35" s="149"/>
      <c r="D35" s="149"/>
      <c r="E35" s="149"/>
      <c r="F35" s="149"/>
      <c r="G35" s="149"/>
    </row>
    <row r="36" spans="1:7" ht="12.75">
      <c r="A36" s="160"/>
      <c r="B36" s="149"/>
      <c r="C36" s="149"/>
      <c r="D36" s="149"/>
      <c r="E36" s="149"/>
      <c r="F36" s="149"/>
      <c r="G36" s="149"/>
    </row>
    <row r="37" spans="1:7" ht="12.75">
      <c r="A37" s="160"/>
      <c r="B37" s="149"/>
      <c r="C37" s="149"/>
      <c r="D37" s="149"/>
      <c r="E37" s="149"/>
      <c r="F37" s="149"/>
      <c r="G37" s="149"/>
    </row>
    <row r="38" spans="1:7" ht="12.75">
      <c r="A38" s="160"/>
      <c r="B38" s="149"/>
      <c r="C38" s="149"/>
      <c r="D38" s="149"/>
      <c r="E38" s="149"/>
      <c r="F38" s="149"/>
      <c r="G38" s="149"/>
    </row>
    <row r="39" spans="1:7" ht="12.75">
      <c r="A39" s="160"/>
      <c r="B39" s="149"/>
      <c r="C39" s="149"/>
      <c r="D39" s="149"/>
      <c r="E39" s="149"/>
      <c r="F39" s="149"/>
      <c r="G39" s="149"/>
    </row>
    <row r="40" spans="1:7" ht="12.75">
      <c r="A40" s="160"/>
      <c r="B40" s="149"/>
      <c r="C40" s="149"/>
      <c r="D40" s="149"/>
      <c r="E40" s="149"/>
      <c r="F40" s="149"/>
      <c r="G40" s="149"/>
    </row>
    <row r="41" spans="1:7" ht="12.75">
      <c r="A41" s="160"/>
      <c r="B41" s="149"/>
      <c r="C41" s="149"/>
      <c r="D41" s="149"/>
      <c r="E41" s="149"/>
      <c r="F41" s="149"/>
      <c r="G41" s="149"/>
    </row>
    <row r="42" spans="1:7" ht="12.75">
      <c r="A42" s="160"/>
      <c r="B42" s="149"/>
      <c r="C42" s="149"/>
      <c r="D42" s="149"/>
      <c r="E42" s="149"/>
      <c r="F42" s="149"/>
      <c r="G42" s="149"/>
    </row>
    <row r="43" spans="1:7" ht="12.75">
      <c r="A43" s="160"/>
      <c r="B43" s="149"/>
      <c r="C43" s="149"/>
      <c r="D43" s="149"/>
      <c r="E43" s="149"/>
      <c r="F43" s="149"/>
      <c r="G43" s="149"/>
    </row>
    <row r="44" spans="1:7" ht="12.75">
      <c r="A44" s="160"/>
      <c r="B44" s="149"/>
      <c r="C44" s="149"/>
      <c r="D44" s="149"/>
      <c r="E44" s="149"/>
      <c r="F44" s="149"/>
      <c r="G44" s="149"/>
    </row>
    <row r="45" spans="1:7" ht="12.75">
      <c r="A45" s="160"/>
      <c r="B45" s="149"/>
      <c r="C45" s="149"/>
      <c r="D45" s="149"/>
      <c r="E45" s="149"/>
      <c r="F45" s="149"/>
      <c r="G45" s="149"/>
    </row>
    <row r="46" spans="1:7" ht="12.75">
      <c r="A46" s="160"/>
      <c r="B46" s="149"/>
      <c r="C46" s="149"/>
      <c r="D46" s="149"/>
      <c r="E46" s="149"/>
      <c r="F46" s="149"/>
      <c r="G46" s="149"/>
    </row>
    <row r="47" spans="1:7" ht="12.75">
      <c r="A47" s="160"/>
      <c r="B47" s="149"/>
      <c r="C47" s="149"/>
      <c r="D47" s="149"/>
      <c r="E47" s="149"/>
      <c r="F47" s="149"/>
      <c r="G47" s="149"/>
    </row>
    <row r="48" spans="1:7" ht="12.75">
      <c r="A48" s="160"/>
      <c r="B48" s="149"/>
      <c r="C48" s="149"/>
      <c r="D48" s="149"/>
      <c r="E48" s="149"/>
      <c r="F48" s="149"/>
      <c r="G48" s="149"/>
    </row>
    <row r="49" spans="1:7" ht="12.75">
      <c r="A49" s="160"/>
      <c r="B49" s="149"/>
      <c r="C49" s="149"/>
      <c r="D49" s="149"/>
      <c r="E49" s="149"/>
      <c r="F49" s="149"/>
      <c r="G49" s="149"/>
    </row>
    <row r="50" spans="1:7" ht="12.75">
      <c r="A50" s="160"/>
      <c r="B50" s="149"/>
      <c r="C50" s="149"/>
      <c r="D50" s="149"/>
      <c r="E50" s="149"/>
      <c r="F50" s="149"/>
      <c r="G50" s="149"/>
    </row>
    <row r="51" spans="1:7" ht="12.75">
      <c r="A51" s="160"/>
      <c r="B51" s="149"/>
      <c r="C51" s="149"/>
      <c r="D51" s="149"/>
      <c r="E51" s="149"/>
      <c r="F51" s="149"/>
      <c r="G51" s="149"/>
    </row>
    <row r="52" spans="1:7" ht="12.75">
      <c r="A52" s="160"/>
      <c r="B52" s="149"/>
      <c r="C52" s="149"/>
      <c r="D52" s="149"/>
      <c r="E52" s="149"/>
      <c r="F52" s="149"/>
      <c r="G52" s="149"/>
    </row>
    <row r="53" spans="1:7" ht="12.75">
      <c r="A53" s="160"/>
      <c r="B53" s="149"/>
      <c r="C53" s="149"/>
      <c r="D53" s="149"/>
      <c r="E53" s="149"/>
      <c r="F53" s="149"/>
      <c r="G53" s="149"/>
    </row>
    <row r="54" spans="1:7" ht="12.75">
      <c r="A54" s="160"/>
      <c r="B54" s="149"/>
      <c r="C54" s="149"/>
      <c r="D54" s="149"/>
      <c r="E54" s="149"/>
      <c r="F54" s="149"/>
      <c r="G54" s="149"/>
    </row>
    <row r="55" spans="1:7" ht="12.75">
      <c r="A55" s="160"/>
      <c r="B55" s="149"/>
      <c r="C55" s="149"/>
      <c r="D55" s="149"/>
      <c r="E55" s="149"/>
      <c r="F55" s="149"/>
      <c r="G55" s="149"/>
    </row>
    <row r="56" spans="1:7" ht="12.75">
      <c r="A56" s="160"/>
      <c r="B56" s="149"/>
      <c r="C56" s="149"/>
      <c r="D56" s="149"/>
      <c r="E56" s="149"/>
      <c r="F56" s="149"/>
      <c r="G56" s="149"/>
    </row>
    <row r="57" spans="1:7" ht="12.75">
      <c r="A57" s="160"/>
      <c r="B57" s="149"/>
      <c r="C57" s="149"/>
      <c r="D57" s="149"/>
      <c r="E57" s="149"/>
      <c r="F57" s="149"/>
      <c r="G57" s="149"/>
    </row>
    <row r="58" spans="1:7" ht="12.75">
      <c r="A58" s="160"/>
      <c r="B58" s="149"/>
      <c r="C58" s="149"/>
      <c r="D58" s="149"/>
      <c r="E58" s="149"/>
      <c r="F58" s="149"/>
      <c r="G58" s="149"/>
    </row>
    <row r="59" spans="1:7" ht="12.75">
      <c r="A59" s="160"/>
      <c r="B59" s="149"/>
      <c r="C59" s="149"/>
      <c r="D59" s="149"/>
      <c r="E59" s="149"/>
      <c r="F59" s="149"/>
      <c r="G59" s="149"/>
    </row>
    <row r="60" spans="1:7" ht="12.75">
      <c r="A60" s="160"/>
      <c r="B60" s="149"/>
      <c r="C60" s="149"/>
      <c r="D60" s="149"/>
      <c r="E60" s="149"/>
      <c r="F60" s="149"/>
      <c r="G60" s="149"/>
    </row>
    <row r="61" spans="1:7" ht="12.75">
      <c r="A61" s="160"/>
      <c r="B61" s="149"/>
      <c r="C61" s="149"/>
      <c r="D61" s="149"/>
      <c r="E61" s="149"/>
      <c r="F61" s="149"/>
      <c r="G61" s="149"/>
    </row>
    <row r="62" spans="1:7" ht="12.75">
      <c r="A62" s="160"/>
      <c r="B62" s="149"/>
      <c r="C62" s="149"/>
      <c r="D62" s="149"/>
      <c r="E62" s="149"/>
      <c r="F62" s="149"/>
      <c r="G62" s="149"/>
    </row>
    <row r="63" spans="1:7" ht="12.75">
      <c r="A63" s="160"/>
      <c r="B63" s="149"/>
      <c r="C63" s="149"/>
      <c r="D63" s="149"/>
      <c r="E63" s="149"/>
      <c r="F63" s="149"/>
      <c r="G63" s="149"/>
    </row>
    <row r="64" spans="1:7" ht="12.75">
      <c r="A64" s="160"/>
      <c r="B64" s="149"/>
      <c r="C64" s="149"/>
      <c r="D64" s="149"/>
      <c r="E64" s="149"/>
      <c r="F64" s="149"/>
      <c r="G64" s="149"/>
    </row>
    <row r="65" spans="1:7" ht="12.75">
      <c r="A65" s="160"/>
      <c r="B65" s="149"/>
      <c r="C65" s="149"/>
      <c r="D65" s="149"/>
      <c r="E65" s="149"/>
      <c r="F65" s="149"/>
      <c r="G65" s="149"/>
    </row>
    <row r="66" spans="1:7" ht="12.75">
      <c r="A66" s="160"/>
      <c r="B66" s="149"/>
      <c r="C66" s="149"/>
      <c r="D66" s="149"/>
      <c r="E66" s="149"/>
      <c r="F66" s="149"/>
      <c r="G66" s="149"/>
    </row>
    <row r="67" spans="1:7" ht="12.75">
      <c r="A67" s="160"/>
      <c r="B67" s="149"/>
      <c r="C67" s="149"/>
      <c r="D67" s="149"/>
      <c r="E67" s="149"/>
      <c r="F67" s="149"/>
      <c r="G67" s="149"/>
    </row>
    <row r="68" spans="1:7" ht="12.75">
      <c r="A68" s="160"/>
      <c r="B68" s="149"/>
      <c r="C68" s="149"/>
      <c r="D68" s="149"/>
      <c r="E68" s="149"/>
      <c r="F68" s="149"/>
      <c r="G68" s="149"/>
    </row>
    <row r="69" spans="1:7" ht="12.75">
      <c r="A69" s="160"/>
      <c r="B69" s="149"/>
      <c r="C69" s="149"/>
      <c r="D69" s="149"/>
      <c r="E69" s="149"/>
      <c r="F69" s="149"/>
      <c r="G69" s="149"/>
    </row>
    <row r="70" spans="1:7" ht="12.75">
      <c r="A70" s="160"/>
      <c r="B70" s="149"/>
      <c r="C70" s="149"/>
      <c r="D70" s="149"/>
      <c r="E70" s="149"/>
      <c r="F70" s="149"/>
      <c r="G70" s="149"/>
    </row>
    <row r="71" spans="1:7" ht="12.75">
      <c r="A71" s="160"/>
      <c r="B71" s="149"/>
      <c r="C71" s="149"/>
      <c r="D71" s="149"/>
      <c r="E71" s="149"/>
      <c r="F71" s="149"/>
      <c r="G71" s="149"/>
    </row>
    <row r="72" spans="1:7" ht="12.75">
      <c r="A72" s="160"/>
      <c r="B72" s="149"/>
      <c r="C72" s="149"/>
      <c r="D72" s="149"/>
      <c r="E72" s="149"/>
      <c r="F72" s="149"/>
      <c r="G72" s="149"/>
    </row>
    <row r="73" spans="1:7" ht="12.75">
      <c r="A73" s="160"/>
      <c r="B73" s="149"/>
      <c r="C73" s="149"/>
      <c r="D73" s="149"/>
      <c r="E73" s="149"/>
      <c r="F73" s="149"/>
      <c r="G73" s="149"/>
    </row>
    <row r="74" spans="1:7" ht="12.75">
      <c r="A74" s="160"/>
      <c r="B74" s="149"/>
      <c r="C74" s="149"/>
      <c r="D74" s="149"/>
      <c r="E74" s="149"/>
      <c r="F74" s="149"/>
      <c r="G74" s="149"/>
    </row>
    <row r="75" spans="1:7" ht="12.75">
      <c r="A75" s="160"/>
      <c r="B75" s="149"/>
      <c r="C75" s="149"/>
      <c r="D75" s="149"/>
      <c r="E75" s="149"/>
      <c r="F75" s="149"/>
      <c r="G75" s="149"/>
    </row>
    <row r="76" spans="1:7" ht="12.75">
      <c r="A76" s="160"/>
      <c r="B76" s="149"/>
      <c r="C76" s="149"/>
      <c r="D76" s="149"/>
      <c r="E76" s="149"/>
      <c r="F76" s="149"/>
      <c r="G76" s="149"/>
    </row>
    <row r="77" spans="1:7" ht="12.75">
      <c r="A77" s="160"/>
      <c r="B77" s="149"/>
      <c r="C77" s="149"/>
      <c r="D77" s="149"/>
      <c r="E77" s="149"/>
      <c r="F77" s="149"/>
      <c r="G77" s="149"/>
    </row>
    <row r="78" spans="1:7" ht="12.75">
      <c r="A78" s="160"/>
      <c r="B78" s="149"/>
      <c r="C78" s="149"/>
      <c r="D78" s="149"/>
      <c r="E78" s="149"/>
      <c r="F78" s="149"/>
      <c r="G78" s="149"/>
    </row>
    <row r="79" spans="1:7" ht="12.75">
      <c r="A79" s="160"/>
      <c r="B79" s="149"/>
      <c r="C79" s="149"/>
      <c r="D79" s="149"/>
      <c r="E79" s="149"/>
      <c r="F79" s="149"/>
      <c r="G79" s="149"/>
    </row>
    <row r="80" spans="1:7" ht="12.75">
      <c r="A80" s="160"/>
      <c r="B80" s="149"/>
      <c r="C80" s="149"/>
      <c r="D80" s="149"/>
      <c r="E80" s="149"/>
      <c r="F80" s="149"/>
      <c r="G80" s="149"/>
    </row>
    <row r="81" spans="1:7" ht="12.75">
      <c r="A81" s="160"/>
      <c r="B81" s="149"/>
      <c r="C81" s="149"/>
      <c r="D81" s="149"/>
      <c r="E81" s="149"/>
      <c r="F81" s="149"/>
      <c r="G81" s="149"/>
    </row>
    <row r="82" spans="1:7" ht="12.75">
      <c r="A82" s="160"/>
      <c r="B82" s="149"/>
      <c r="C82" s="149"/>
      <c r="D82" s="149"/>
      <c r="E82" s="149"/>
      <c r="F82" s="149"/>
      <c r="G82" s="149"/>
    </row>
    <row r="83" spans="1:7" ht="12.75">
      <c r="A83" s="160"/>
      <c r="B83" s="149"/>
      <c r="C83" s="149"/>
      <c r="D83" s="149"/>
      <c r="E83" s="149"/>
      <c r="F83" s="149"/>
      <c r="G83" s="149"/>
    </row>
    <row r="84" spans="1:7" ht="12.75">
      <c r="A84" s="160"/>
      <c r="B84" s="149"/>
      <c r="C84" s="149"/>
      <c r="D84" s="149"/>
      <c r="E84" s="149"/>
      <c r="F84" s="149"/>
      <c r="G84" s="149"/>
    </row>
    <row r="85" spans="1:7" ht="12.75">
      <c r="A85" s="160"/>
      <c r="B85" s="149"/>
      <c r="C85" s="149"/>
      <c r="D85" s="149"/>
      <c r="E85" s="149"/>
      <c r="F85" s="149"/>
      <c r="G85" s="149"/>
    </row>
    <row r="86" spans="1:7" ht="12.75">
      <c r="A86" s="160"/>
      <c r="B86" s="149"/>
      <c r="C86" s="149"/>
      <c r="D86" s="149"/>
      <c r="E86" s="149"/>
      <c r="F86" s="149"/>
      <c r="G86" s="149"/>
    </row>
    <row r="87" spans="1:7" ht="12.75">
      <c r="A87" s="160"/>
      <c r="B87" s="149"/>
      <c r="C87" s="149"/>
      <c r="D87" s="149"/>
      <c r="E87" s="149"/>
      <c r="F87" s="149"/>
      <c r="G87" s="149"/>
    </row>
    <row r="88" spans="1:7" ht="12.75">
      <c r="A88" s="160"/>
      <c r="B88" s="149"/>
      <c r="C88" s="149"/>
      <c r="D88" s="149"/>
      <c r="E88" s="149"/>
      <c r="F88" s="149"/>
      <c r="G88" s="149"/>
    </row>
    <row r="89" spans="1:7" ht="12.75">
      <c r="A89" s="160"/>
      <c r="B89" s="149"/>
      <c r="C89" s="149"/>
      <c r="D89" s="149"/>
      <c r="E89" s="149"/>
      <c r="F89" s="149"/>
      <c r="G89" s="149"/>
    </row>
    <row r="90" spans="1:7" ht="12.75">
      <c r="A90" s="160"/>
      <c r="B90" s="149"/>
      <c r="C90" s="149"/>
      <c r="D90" s="149"/>
      <c r="E90" s="149"/>
      <c r="F90" s="149"/>
      <c r="G90" s="149"/>
    </row>
    <row r="91" spans="1:7" ht="12.75">
      <c r="A91" s="160"/>
      <c r="B91" s="149"/>
      <c r="C91" s="149"/>
      <c r="D91" s="149"/>
      <c r="E91" s="149"/>
      <c r="F91" s="149"/>
      <c r="G91" s="149"/>
    </row>
    <row r="92" spans="1:7" ht="12.75">
      <c r="A92" s="160"/>
      <c r="B92" s="149"/>
      <c r="C92" s="149"/>
      <c r="D92" s="149"/>
      <c r="E92" s="149"/>
      <c r="F92" s="149"/>
      <c r="G92" s="149"/>
    </row>
    <row r="93" spans="1:7" ht="12.75">
      <c r="A93" s="160"/>
      <c r="B93" s="149"/>
      <c r="C93" s="149"/>
      <c r="D93" s="149"/>
      <c r="E93" s="149"/>
      <c r="F93" s="149"/>
      <c r="G93" s="149"/>
    </row>
    <row r="94" spans="1:7" ht="12.75">
      <c r="A94" s="160"/>
      <c r="B94" s="149"/>
      <c r="C94" s="149"/>
      <c r="D94" s="149"/>
      <c r="E94" s="149"/>
      <c r="F94" s="149"/>
      <c r="G94" s="149"/>
    </row>
    <row r="95" spans="1:7" ht="12.75">
      <c r="A95" s="160"/>
      <c r="B95" s="149"/>
      <c r="C95" s="149"/>
      <c r="D95" s="149"/>
      <c r="E95" s="149"/>
      <c r="F95" s="149"/>
      <c r="G95" s="149"/>
    </row>
    <row r="96" spans="1:7" ht="12.75">
      <c r="A96" s="160"/>
      <c r="B96" s="149"/>
      <c r="C96" s="149"/>
      <c r="D96" s="149"/>
      <c r="E96" s="149"/>
      <c r="F96" s="149"/>
      <c r="G96" s="149"/>
    </row>
    <row r="97" spans="1:7" ht="12.75">
      <c r="A97" s="160"/>
      <c r="B97" s="149"/>
      <c r="C97" s="149"/>
      <c r="D97" s="149"/>
      <c r="E97" s="149"/>
      <c r="F97" s="149"/>
      <c r="G97" s="149"/>
    </row>
    <row r="98" spans="1:7" ht="12.75">
      <c r="A98" s="160"/>
      <c r="B98" s="149"/>
      <c r="C98" s="149"/>
      <c r="D98" s="149"/>
      <c r="E98" s="149"/>
      <c r="F98" s="149"/>
      <c r="G98" s="149"/>
    </row>
    <row r="99" spans="1:7" ht="12.75">
      <c r="A99" s="160"/>
      <c r="B99" s="149"/>
      <c r="C99" s="149"/>
      <c r="D99" s="149"/>
      <c r="E99" s="149"/>
      <c r="F99" s="149"/>
      <c r="G99" s="149"/>
    </row>
    <row r="100" spans="1:7" ht="12.75">
      <c r="A100" s="160"/>
      <c r="B100" s="149"/>
      <c r="C100" s="149"/>
      <c r="D100" s="149"/>
      <c r="E100" s="149"/>
      <c r="F100" s="149"/>
      <c r="G100" s="149"/>
    </row>
    <row r="101" spans="1:7" ht="12.75">
      <c r="A101" s="160"/>
      <c r="B101" s="149"/>
      <c r="C101" s="149"/>
      <c r="D101" s="149"/>
      <c r="E101" s="149"/>
      <c r="F101" s="149"/>
      <c r="G101" s="149"/>
    </row>
    <row r="102" spans="1:7" ht="12.75">
      <c r="A102" s="160"/>
      <c r="B102" s="149"/>
      <c r="C102" s="149"/>
      <c r="D102" s="149"/>
      <c r="E102" s="149"/>
      <c r="F102" s="149"/>
      <c r="G102" s="149"/>
    </row>
    <row r="103" spans="1:7" ht="12.75">
      <c r="A103" s="160"/>
      <c r="B103" s="149"/>
      <c r="C103" s="149"/>
      <c r="D103" s="149"/>
      <c r="E103" s="149"/>
      <c r="F103" s="149"/>
      <c r="G103" s="149"/>
    </row>
    <row r="104" spans="1:7" ht="12.75">
      <c r="A104" s="160"/>
      <c r="B104" s="149"/>
      <c r="C104" s="149"/>
      <c r="D104" s="149"/>
      <c r="E104" s="149"/>
      <c r="F104" s="149"/>
      <c r="G104" s="149"/>
    </row>
    <row r="105" spans="1:7" ht="12.75">
      <c r="A105" s="160"/>
      <c r="B105" s="149"/>
      <c r="C105" s="149"/>
      <c r="D105" s="149"/>
      <c r="E105" s="149"/>
      <c r="F105" s="149"/>
      <c r="G105" s="149"/>
    </row>
    <row r="106" spans="1:7" ht="12.75">
      <c r="A106" s="160"/>
      <c r="B106" s="149"/>
      <c r="C106" s="149"/>
      <c r="D106" s="149"/>
      <c r="E106" s="149"/>
      <c r="F106" s="149"/>
      <c r="G106" s="149"/>
    </row>
    <row r="107" spans="1:7" ht="12.75">
      <c r="A107" s="160"/>
      <c r="B107" s="149"/>
      <c r="C107" s="149"/>
      <c r="D107" s="149"/>
      <c r="E107" s="149"/>
      <c r="F107" s="149"/>
      <c r="G107" s="149"/>
    </row>
    <row r="108" spans="1:7" ht="12.75">
      <c r="A108" s="160"/>
      <c r="B108" s="149"/>
      <c r="C108" s="149"/>
      <c r="D108" s="149"/>
      <c r="E108" s="149"/>
      <c r="F108" s="149"/>
      <c r="G108" s="149"/>
    </row>
    <row r="109" spans="1:7" ht="12.75">
      <c r="A109" s="160"/>
      <c r="B109" s="149"/>
      <c r="C109" s="149"/>
      <c r="D109" s="149"/>
      <c r="E109" s="149"/>
      <c r="F109" s="149"/>
      <c r="G109" s="149"/>
    </row>
    <row r="110" spans="1:7" ht="12.75">
      <c r="A110" s="160"/>
      <c r="B110" s="149"/>
      <c r="C110" s="149"/>
      <c r="D110" s="149"/>
      <c r="E110" s="149"/>
      <c r="F110" s="149"/>
      <c r="G110" s="149"/>
    </row>
    <row r="111" spans="1:7" ht="12.75">
      <c r="A111" s="160"/>
      <c r="B111" s="149"/>
      <c r="C111" s="149"/>
      <c r="D111" s="149"/>
      <c r="E111" s="149"/>
      <c r="F111" s="149"/>
      <c r="G111" s="149"/>
    </row>
    <row r="112" spans="1:7" ht="12.75">
      <c r="A112" s="160"/>
      <c r="B112" s="149"/>
      <c r="C112" s="149"/>
      <c r="D112" s="149"/>
      <c r="E112" s="149"/>
      <c r="F112" s="149"/>
      <c r="G112" s="149"/>
    </row>
    <row r="113" spans="1:7" ht="12.75">
      <c r="A113" s="160"/>
      <c r="B113" s="149"/>
      <c r="C113" s="149"/>
      <c r="D113" s="149"/>
      <c r="E113" s="149"/>
      <c r="F113" s="149"/>
      <c r="G113" s="149"/>
    </row>
    <row r="114" spans="1:7" ht="12.75">
      <c r="A114" s="160"/>
      <c r="B114" s="149"/>
      <c r="C114" s="149"/>
      <c r="D114" s="149"/>
      <c r="E114" s="149"/>
      <c r="F114" s="149"/>
      <c r="G114" s="149"/>
    </row>
    <row r="115" spans="1:7" ht="12.75">
      <c r="A115" s="160"/>
      <c r="B115" s="149"/>
      <c r="C115" s="149"/>
      <c r="D115" s="149"/>
      <c r="E115" s="149"/>
      <c r="F115" s="149"/>
      <c r="G115" s="149"/>
    </row>
    <row r="116" spans="1:7" ht="12.75">
      <c r="A116" s="160"/>
      <c r="B116" s="149"/>
      <c r="C116" s="149"/>
      <c r="D116" s="149"/>
      <c r="E116" s="149"/>
      <c r="F116" s="149"/>
      <c r="G116" s="149"/>
    </row>
    <row r="117" spans="1:7" ht="12.75">
      <c r="A117" s="160"/>
      <c r="B117" s="149"/>
      <c r="C117" s="149"/>
      <c r="D117" s="149"/>
      <c r="E117" s="149"/>
      <c r="F117" s="149"/>
      <c r="G117" s="149"/>
    </row>
    <row r="118" spans="1:7" ht="12.75">
      <c r="A118" s="160"/>
      <c r="B118" s="149"/>
      <c r="C118" s="149"/>
      <c r="D118" s="149"/>
      <c r="E118" s="149"/>
      <c r="F118" s="149"/>
      <c r="G118" s="149"/>
    </row>
    <row r="119" spans="1:7" ht="12.75">
      <c r="A119" s="160"/>
      <c r="B119" s="149"/>
      <c r="C119" s="149"/>
      <c r="D119" s="149"/>
      <c r="E119" s="149"/>
      <c r="F119" s="149"/>
      <c r="G119" s="149"/>
    </row>
    <row r="120" spans="1:7" ht="12.75">
      <c r="A120" s="160"/>
      <c r="B120" s="149"/>
      <c r="C120" s="149"/>
      <c r="D120" s="149"/>
      <c r="E120" s="149"/>
      <c r="F120" s="149"/>
      <c r="G120" s="149"/>
    </row>
    <row r="121" spans="1:7" ht="12.75">
      <c r="A121" s="160"/>
      <c r="B121" s="149"/>
      <c r="C121" s="149"/>
      <c r="D121" s="149"/>
      <c r="E121" s="149"/>
      <c r="F121" s="149"/>
      <c r="G121" s="149"/>
    </row>
    <row r="122" spans="1:7" ht="12.75">
      <c r="A122" s="160"/>
      <c r="B122" s="149"/>
      <c r="C122" s="149"/>
      <c r="D122" s="149"/>
      <c r="E122" s="149"/>
      <c r="F122" s="149"/>
      <c r="G122" s="149"/>
    </row>
    <row r="123" spans="1:7" ht="12.75">
      <c r="A123" s="160"/>
      <c r="B123" s="149"/>
      <c r="C123" s="149"/>
      <c r="D123" s="149"/>
      <c r="E123" s="149"/>
      <c r="F123" s="149"/>
      <c r="G123" s="149"/>
    </row>
    <row r="124" spans="1:7" ht="12.75">
      <c r="A124" s="160"/>
      <c r="B124" s="149"/>
      <c r="C124" s="149"/>
      <c r="D124" s="149"/>
      <c r="E124" s="149"/>
      <c r="F124" s="149"/>
      <c r="G124" s="149"/>
    </row>
    <row r="125" spans="1:7" ht="12.75">
      <c r="A125" s="160"/>
      <c r="B125" s="149"/>
      <c r="C125" s="149"/>
      <c r="D125" s="149"/>
      <c r="E125" s="149"/>
      <c r="F125" s="149"/>
      <c r="G125" s="149"/>
    </row>
    <row r="126" spans="1:7" ht="12.75">
      <c r="A126" s="160"/>
      <c r="B126" s="149"/>
      <c r="C126" s="149"/>
      <c r="D126" s="149"/>
      <c r="E126" s="149"/>
      <c r="F126" s="149"/>
      <c r="G126" s="149"/>
    </row>
    <row r="127" spans="1:7" ht="12.75">
      <c r="A127" s="160"/>
      <c r="B127" s="149"/>
      <c r="C127" s="149"/>
      <c r="D127" s="149"/>
      <c r="E127" s="149"/>
      <c r="F127" s="149"/>
      <c r="G127" s="149"/>
    </row>
    <row r="128" spans="1:7" ht="12.75">
      <c r="A128" s="160"/>
      <c r="B128" s="149"/>
      <c r="C128" s="149"/>
      <c r="D128" s="149"/>
      <c r="E128" s="149"/>
      <c r="F128" s="149"/>
      <c r="G128" s="149"/>
    </row>
    <row r="129" spans="1:7" ht="12.75">
      <c r="A129" s="160"/>
      <c r="B129" s="149"/>
      <c r="C129" s="149"/>
      <c r="D129" s="149"/>
      <c r="E129" s="149"/>
      <c r="F129" s="149"/>
      <c r="G129" s="149"/>
    </row>
    <row r="130" spans="1:7" ht="12.75">
      <c r="A130" s="160"/>
      <c r="B130" s="149"/>
      <c r="C130" s="149"/>
      <c r="D130" s="149"/>
      <c r="E130" s="149"/>
      <c r="F130" s="149"/>
      <c r="G130" s="149"/>
    </row>
    <row r="131" spans="1:7" ht="12.75">
      <c r="A131" s="160"/>
      <c r="B131" s="149"/>
      <c r="C131" s="149"/>
      <c r="D131" s="149"/>
      <c r="E131" s="149"/>
      <c r="F131" s="149"/>
      <c r="G131" s="149"/>
    </row>
    <row r="132" spans="1:7" ht="12.75">
      <c r="A132" s="160"/>
      <c r="B132" s="149"/>
      <c r="C132" s="149"/>
      <c r="D132" s="149"/>
      <c r="E132" s="149"/>
      <c r="F132" s="149"/>
      <c r="G132" s="149"/>
    </row>
    <row r="133" spans="1:7" ht="12.75">
      <c r="A133" s="160"/>
      <c r="B133" s="149"/>
      <c r="C133" s="149"/>
      <c r="D133" s="149"/>
      <c r="E133" s="149"/>
      <c r="F133" s="149"/>
      <c r="G133" s="149"/>
    </row>
    <row r="134" spans="1:7" ht="12.75">
      <c r="A134" s="160"/>
      <c r="B134" s="149"/>
      <c r="C134" s="149"/>
      <c r="D134" s="149"/>
      <c r="E134" s="149"/>
      <c r="F134" s="149"/>
      <c r="G134" s="149"/>
    </row>
    <row r="135" spans="1:7" ht="12.75">
      <c r="A135" s="160"/>
      <c r="B135" s="149"/>
      <c r="C135" s="149"/>
      <c r="D135" s="149"/>
      <c r="E135" s="149"/>
      <c r="F135" s="149"/>
      <c r="G135" s="149"/>
    </row>
    <row r="136" spans="1:7" ht="12.75">
      <c r="A136" s="160"/>
      <c r="B136" s="149"/>
      <c r="C136" s="149"/>
      <c r="D136" s="149"/>
      <c r="E136" s="149"/>
      <c r="F136" s="149"/>
      <c r="G136" s="149"/>
    </row>
    <row r="137" spans="1:7" ht="12.75">
      <c r="A137" s="160"/>
      <c r="B137" s="149"/>
      <c r="C137" s="149"/>
      <c r="D137" s="149"/>
      <c r="E137" s="149"/>
      <c r="F137" s="149"/>
      <c r="G137" s="149"/>
    </row>
    <row r="138" spans="1:7" ht="12.75">
      <c r="A138" s="160"/>
      <c r="B138" s="149"/>
      <c r="C138" s="149"/>
      <c r="D138" s="149"/>
      <c r="E138" s="149"/>
      <c r="F138" s="149"/>
      <c r="G138" s="149"/>
    </row>
    <row r="139" spans="1:7" ht="12.75">
      <c r="A139" s="160"/>
      <c r="B139" s="149"/>
      <c r="C139" s="149"/>
      <c r="D139" s="149"/>
      <c r="E139" s="149"/>
      <c r="F139" s="149"/>
      <c r="G139" s="149"/>
    </row>
    <row r="140" spans="1:7" ht="12.75">
      <c r="A140" s="160"/>
      <c r="B140" s="149"/>
      <c r="C140" s="149"/>
      <c r="D140" s="149"/>
      <c r="E140" s="149"/>
      <c r="F140" s="149"/>
      <c r="G140" s="149"/>
    </row>
    <row r="141" spans="1:7" ht="12.75">
      <c r="A141" s="160"/>
      <c r="B141" s="149"/>
      <c r="C141" s="149"/>
      <c r="D141" s="149"/>
      <c r="E141" s="149"/>
      <c r="F141" s="149"/>
      <c r="G141" s="149"/>
    </row>
    <row r="142" spans="1:7" ht="12.75">
      <c r="A142" s="160"/>
      <c r="B142" s="149"/>
      <c r="C142" s="149"/>
      <c r="D142" s="149"/>
      <c r="E142" s="149"/>
      <c r="F142" s="149"/>
      <c r="G142" s="149"/>
    </row>
    <row r="143" spans="1:7" ht="12.75">
      <c r="A143" s="160"/>
      <c r="B143" s="149"/>
      <c r="C143" s="149"/>
      <c r="D143" s="149"/>
      <c r="E143" s="149"/>
      <c r="F143" s="149"/>
      <c r="G143" s="149"/>
    </row>
    <row r="144" spans="1:7" ht="12.75">
      <c r="A144" s="160"/>
      <c r="B144" s="149"/>
      <c r="C144" s="149"/>
      <c r="D144" s="149"/>
      <c r="E144" s="149"/>
      <c r="F144" s="149"/>
      <c r="G144" s="149"/>
    </row>
    <row r="145" spans="1:7" ht="12.75">
      <c r="A145" s="160"/>
      <c r="B145" s="149"/>
      <c r="C145" s="149"/>
      <c r="D145" s="149"/>
      <c r="E145" s="149"/>
      <c r="F145" s="149"/>
      <c r="G145" s="149"/>
    </row>
    <row r="146" spans="1:7" ht="12.75">
      <c r="A146" s="160"/>
      <c r="B146" s="149"/>
      <c r="C146" s="149"/>
      <c r="D146" s="149"/>
      <c r="E146" s="149"/>
      <c r="F146" s="149"/>
      <c r="G146" s="149"/>
    </row>
    <row r="147" spans="1:7" ht="12.75">
      <c r="A147" s="160"/>
      <c r="B147" s="149"/>
      <c r="C147" s="149"/>
      <c r="D147" s="149"/>
      <c r="E147" s="149"/>
      <c r="F147" s="149"/>
      <c r="G147" s="149"/>
    </row>
    <row r="148" spans="1:7" ht="12.75">
      <c r="A148" s="160"/>
      <c r="B148" s="149"/>
      <c r="C148" s="149"/>
      <c r="D148" s="149"/>
      <c r="E148" s="149"/>
      <c r="F148" s="149"/>
      <c r="G148" s="149"/>
    </row>
    <row r="149" spans="1:7" ht="12.75">
      <c r="A149" s="160"/>
      <c r="B149" s="149"/>
      <c r="C149" s="149"/>
      <c r="D149" s="149"/>
      <c r="E149" s="149"/>
      <c r="F149" s="149"/>
      <c r="G149" s="149"/>
    </row>
    <row r="150" spans="1:7" ht="12.75">
      <c r="A150" s="160"/>
      <c r="B150" s="149"/>
      <c r="C150" s="149"/>
      <c r="D150" s="149"/>
      <c r="E150" s="149"/>
      <c r="F150" s="149"/>
      <c r="G150" s="149"/>
    </row>
    <row r="151" spans="1:7" ht="12.75">
      <c r="A151" s="160"/>
      <c r="B151" s="149"/>
      <c r="C151" s="149"/>
      <c r="D151" s="149"/>
      <c r="E151" s="149"/>
      <c r="F151" s="149"/>
      <c r="G151" s="149"/>
    </row>
    <row r="152" spans="1:7" ht="12.75">
      <c r="A152" s="160"/>
      <c r="B152" s="149"/>
      <c r="C152" s="149"/>
      <c r="D152" s="149"/>
      <c r="E152" s="149"/>
      <c r="F152" s="149"/>
      <c r="G152" s="149"/>
    </row>
    <row r="153" spans="1:7" ht="12.75">
      <c r="A153" s="160"/>
      <c r="B153" s="149"/>
      <c r="C153" s="149"/>
      <c r="D153" s="149"/>
      <c r="E153" s="149"/>
      <c r="F153" s="149"/>
      <c r="G153" s="149"/>
    </row>
    <row r="154" spans="1:7" ht="12.75">
      <c r="A154" s="160"/>
      <c r="B154" s="149"/>
      <c r="C154" s="149"/>
      <c r="D154" s="149"/>
      <c r="E154" s="149"/>
      <c r="F154" s="149"/>
      <c r="G154" s="149"/>
    </row>
    <row r="155" spans="1:7" ht="12.75">
      <c r="A155" s="160"/>
      <c r="B155" s="149"/>
      <c r="C155" s="149"/>
      <c r="D155" s="149"/>
      <c r="E155" s="149"/>
      <c r="F155" s="149"/>
      <c r="G155" s="149"/>
    </row>
    <row r="156" spans="1:7" ht="12.75">
      <c r="A156" s="160"/>
      <c r="B156" s="149"/>
      <c r="C156" s="149"/>
      <c r="D156" s="149"/>
      <c r="E156" s="149"/>
      <c r="F156" s="149"/>
      <c r="G156" s="149"/>
    </row>
    <row r="157" spans="1:7" ht="12.75">
      <c r="A157" s="160"/>
      <c r="B157" s="149"/>
      <c r="C157" s="149"/>
      <c r="D157" s="149"/>
      <c r="E157" s="149"/>
      <c r="F157" s="149"/>
      <c r="G157" s="149"/>
    </row>
    <row r="158" spans="1:7" ht="12.75">
      <c r="A158" s="160"/>
      <c r="B158" s="149"/>
      <c r="C158" s="149"/>
      <c r="D158" s="149"/>
      <c r="E158" s="149"/>
      <c r="F158" s="149"/>
      <c r="G158" s="149"/>
    </row>
    <row r="159" spans="1:7" ht="12.75">
      <c r="A159" s="160"/>
      <c r="B159" s="149"/>
      <c r="C159" s="149"/>
      <c r="D159" s="149"/>
      <c r="E159" s="149"/>
      <c r="F159" s="149"/>
      <c r="G159" s="149"/>
    </row>
    <row r="160" spans="1:7" ht="12.75">
      <c r="A160" s="160"/>
      <c r="B160" s="149"/>
      <c r="C160" s="149"/>
      <c r="D160" s="149"/>
      <c r="E160" s="149"/>
      <c r="F160" s="149"/>
      <c r="G160" s="149"/>
    </row>
    <row r="161" spans="1:7" ht="12.75">
      <c r="A161" s="160"/>
      <c r="B161" s="149"/>
      <c r="C161" s="149"/>
      <c r="D161" s="149"/>
      <c r="E161" s="149"/>
      <c r="F161" s="149"/>
      <c r="G161" s="149"/>
    </row>
    <row r="162" spans="1:7" ht="12.75">
      <c r="A162" s="160"/>
      <c r="B162" s="149"/>
      <c r="C162" s="149"/>
      <c r="D162" s="149"/>
      <c r="E162" s="149"/>
      <c r="F162" s="149"/>
      <c r="G162" s="149"/>
    </row>
    <row r="163" spans="1:7" ht="12.75">
      <c r="A163" s="160"/>
      <c r="B163" s="149"/>
      <c r="C163" s="149"/>
      <c r="D163" s="149"/>
      <c r="E163" s="149"/>
      <c r="F163" s="149"/>
      <c r="G163" s="149"/>
    </row>
    <row r="164" spans="1:7" ht="12.75">
      <c r="A164" s="160"/>
      <c r="B164" s="149"/>
      <c r="C164" s="149"/>
      <c r="D164" s="149"/>
      <c r="E164" s="149"/>
      <c r="F164" s="149"/>
      <c r="G164" s="149"/>
    </row>
    <row r="165" spans="1:7" ht="12.75">
      <c r="A165" s="160"/>
      <c r="B165" s="149"/>
      <c r="C165" s="149"/>
      <c r="D165" s="149"/>
      <c r="E165" s="149"/>
      <c r="F165" s="149"/>
      <c r="G165" s="149"/>
    </row>
    <row r="166" spans="1:7" ht="12.75">
      <c r="A166" s="160"/>
      <c r="B166" s="149"/>
      <c r="C166" s="149"/>
      <c r="D166" s="149"/>
      <c r="E166" s="149"/>
      <c r="F166" s="149"/>
      <c r="G166" s="149"/>
    </row>
    <row r="167" spans="1:7" ht="12.75">
      <c r="A167" s="160"/>
      <c r="B167" s="149"/>
      <c r="C167" s="149"/>
      <c r="D167" s="149"/>
      <c r="E167" s="149"/>
      <c r="F167" s="149"/>
      <c r="G167" s="149"/>
    </row>
    <row r="168" spans="1:7" ht="12.75">
      <c r="A168" s="160"/>
      <c r="B168" s="149"/>
      <c r="C168" s="149"/>
      <c r="D168" s="149"/>
      <c r="E168" s="149"/>
      <c r="F168" s="149"/>
      <c r="G168" s="149"/>
    </row>
    <row r="169" spans="1:7" ht="12.75">
      <c r="A169" s="160"/>
      <c r="B169" s="149"/>
      <c r="C169" s="149"/>
      <c r="D169" s="149"/>
      <c r="E169" s="149"/>
      <c r="F169" s="149"/>
      <c r="G169" s="149"/>
    </row>
    <row r="170" spans="1:7" ht="12.75">
      <c r="A170" s="160"/>
      <c r="B170" s="149"/>
      <c r="C170" s="149"/>
      <c r="D170" s="149"/>
      <c r="E170" s="149"/>
      <c r="F170" s="149"/>
      <c r="G170" s="149"/>
    </row>
    <row r="171" spans="1:7" ht="12.75">
      <c r="A171" s="160"/>
      <c r="B171" s="149"/>
      <c r="C171" s="149"/>
      <c r="D171" s="149"/>
      <c r="E171" s="149"/>
      <c r="F171" s="149"/>
      <c r="G171" s="149"/>
    </row>
    <row r="172" spans="1:7" ht="12.75">
      <c r="A172" s="160"/>
      <c r="B172" s="149"/>
      <c r="C172" s="149"/>
      <c r="D172" s="149"/>
      <c r="E172" s="149"/>
      <c r="F172" s="149"/>
      <c r="G172" s="149"/>
    </row>
    <row r="173" spans="1:7" ht="12.75">
      <c r="A173" s="160"/>
      <c r="B173" s="149"/>
      <c r="C173" s="149"/>
      <c r="D173" s="149"/>
      <c r="E173" s="149"/>
      <c r="F173" s="149"/>
      <c r="G173" s="149"/>
    </row>
    <row r="174" spans="1:7" ht="12.75">
      <c r="A174" s="160"/>
      <c r="B174" s="149"/>
      <c r="C174" s="149"/>
      <c r="D174" s="149"/>
      <c r="E174" s="149"/>
      <c r="F174" s="149"/>
      <c r="G174" s="149"/>
    </row>
    <row r="175" spans="1:7" ht="12.75">
      <c r="A175" s="160"/>
      <c r="B175" s="149"/>
      <c r="C175" s="149"/>
      <c r="D175" s="149"/>
      <c r="E175" s="149"/>
      <c r="F175" s="149"/>
      <c r="G175" s="149"/>
    </row>
    <row r="176" spans="1:7" ht="12.75">
      <c r="A176" s="160"/>
      <c r="B176" s="149"/>
      <c r="C176" s="149"/>
      <c r="D176" s="149"/>
      <c r="E176" s="149"/>
      <c r="F176" s="149"/>
      <c r="G176" s="149"/>
    </row>
    <row r="177" spans="1:7" ht="12.75">
      <c r="A177" s="160"/>
      <c r="B177" s="149"/>
      <c r="C177" s="149"/>
      <c r="D177" s="149"/>
      <c r="E177" s="149"/>
      <c r="F177" s="149"/>
      <c r="G177" s="149"/>
    </row>
    <row r="178" spans="1:7" ht="12.75">
      <c r="A178" s="160"/>
      <c r="B178" s="149"/>
      <c r="C178" s="149"/>
      <c r="D178" s="149"/>
      <c r="E178" s="149"/>
      <c r="F178" s="149"/>
      <c r="G178" s="149"/>
    </row>
    <row r="179" spans="1:7" ht="12.75">
      <c r="A179" s="160"/>
      <c r="B179" s="149"/>
      <c r="C179" s="149"/>
      <c r="D179" s="149"/>
      <c r="E179" s="149"/>
      <c r="F179" s="149"/>
      <c r="G179" s="149"/>
    </row>
    <row r="180" spans="1:7" ht="12.75">
      <c r="A180" s="160"/>
      <c r="B180" s="149"/>
      <c r="C180" s="149"/>
      <c r="D180" s="149"/>
      <c r="E180" s="149"/>
      <c r="F180" s="149"/>
      <c r="G180" s="149"/>
    </row>
    <row r="181" spans="1:7" ht="12.75">
      <c r="A181" s="160"/>
      <c r="B181" s="149"/>
      <c r="C181" s="149"/>
      <c r="D181" s="149"/>
      <c r="E181" s="149"/>
      <c r="F181" s="149"/>
      <c r="G181" s="149"/>
    </row>
    <row r="182" spans="1:7" ht="12.75">
      <c r="A182" s="160"/>
      <c r="B182" s="149"/>
      <c r="C182" s="149"/>
      <c r="D182" s="149"/>
      <c r="E182" s="149"/>
      <c r="F182" s="149"/>
      <c r="G182" s="149"/>
    </row>
    <row r="183" spans="1:7" ht="12.75">
      <c r="A183" s="160"/>
      <c r="B183" s="149"/>
      <c r="C183" s="149"/>
      <c r="D183" s="149"/>
      <c r="E183" s="149"/>
      <c r="F183" s="149"/>
      <c r="G183" s="149"/>
    </row>
    <row r="184" spans="1:7" ht="12.75">
      <c r="A184" s="160"/>
      <c r="B184" s="149"/>
      <c r="C184" s="149"/>
      <c r="D184" s="149"/>
      <c r="E184" s="149"/>
      <c r="F184" s="149"/>
      <c r="G184" s="149"/>
    </row>
    <row r="185" spans="1:7" ht="12.75">
      <c r="A185" s="160"/>
      <c r="B185" s="149"/>
      <c r="C185" s="149"/>
      <c r="D185" s="149"/>
      <c r="E185" s="149"/>
      <c r="F185" s="149"/>
      <c r="G185" s="149"/>
    </row>
    <row r="186" spans="1:7" ht="12.75">
      <c r="A186" s="160"/>
      <c r="B186" s="149"/>
      <c r="C186" s="149"/>
      <c r="D186" s="149"/>
      <c r="E186" s="149"/>
      <c r="F186" s="149"/>
      <c r="G186" s="149"/>
    </row>
  </sheetData>
  <mergeCells count="184">
    <mergeCell ref="A64:G64"/>
    <mergeCell ref="A65:G65"/>
    <mergeCell ref="A63:G63"/>
    <mergeCell ref="A62:G62"/>
    <mergeCell ref="A66:G66"/>
    <mergeCell ref="A73:G73"/>
    <mergeCell ref="A72:G72"/>
    <mergeCell ref="A70:G70"/>
    <mergeCell ref="A69:G69"/>
    <mergeCell ref="A68:G68"/>
    <mergeCell ref="A71:G71"/>
    <mergeCell ref="A67:G67"/>
    <mergeCell ref="A4:G4"/>
    <mergeCell ref="A3:G3"/>
    <mergeCell ref="A49:G49"/>
    <mergeCell ref="A50:G50"/>
    <mergeCell ref="A43:G43"/>
    <mergeCell ref="A42:G42"/>
    <mergeCell ref="A40:G40"/>
    <mergeCell ref="A39:G39"/>
    <mergeCell ref="A41:G41"/>
    <mergeCell ref="A36:G36"/>
    <mergeCell ref="A37:G37"/>
    <mergeCell ref="A38:G38"/>
    <mergeCell ref="A35:G35"/>
    <mergeCell ref="A34:G34"/>
    <mergeCell ref="A27:G27"/>
    <mergeCell ref="A26:G26"/>
    <mergeCell ref="A30:G30"/>
    <mergeCell ref="A31:G31"/>
    <mergeCell ref="A28:G28"/>
    <mergeCell ref="A29:G29"/>
    <mergeCell ref="A25:G25"/>
    <mergeCell ref="A32:G32"/>
    <mergeCell ref="A33:G33"/>
    <mergeCell ref="A8:G8"/>
    <mergeCell ref="A7:G7"/>
    <mergeCell ref="A5:G5"/>
    <mergeCell ref="A6:G6"/>
    <mergeCell ref="A18:G18"/>
    <mergeCell ref="A20:G20"/>
    <mergeCell ref="A21:G21"/>
    <mergeCell ref="A22:G22"/>
    <mergeCell ref="A19:G19"/>
    <mergeCell ref="A17:G17"/>
    <mergeCell ref="A16:G16"/>
    <mergeCell ref="A61:G61"/>
    <mergeCell ref="A44:G44"/>
    <mergeCell ref="A45:G45"/>
    <mergeCell ref="A57:G57"/>
    <mergeCell ref="A58:G58"/>
    <mergeCell ref="A9:G9"/>
    <mergeCell ref="A15:G15"/>
    <mergeCell ref="A14:G14"/>
    <mergeCell ref="A13:G13"/>
    <mergeCell ref="A12:G12"/>
    <mergeCell ref="A10:G10"/>
    <mergeCell ref="A11:G11"/>
    <mergeCell ref="A23:G23"/>
    <mergeCell ref="A24:G24"/>
    <mergeCell ref="A46:G46"/>
    <mergeCell ref="A48:G48"/>
    <mergeCell ref="A47:G47"/>
    <mergeCell ref="A60:G60"/>
    <mergeCell ref="A59:G59"/>
    <mergeCell ref="A53:G53"/>
    <mergeCell ref="A54:G54"/>
    <mergeCell ref="A51:G51"/>
    <mergeCell ref="A52:G52"/>
    <mergeCell ref="A55:G55"/>
    <mergeCell ref="A176:G176"/>
    <mergeCell ref="A177:G177"/>
    <mergeCell ref="A169:G169"/>
    <mergeCell ref="A170:G170"/>
    <mergeCell ref="A186:G186"/>
    <mergeCell ref="A179:G179"/>
    <mergeCell ref="A178:G178"/>
    <mergeCell ref="A182:G182"/>
    <mergeCell ref="A183:G183"/>
    <mergeCell ref="A175:G175"/>
    <mergeCell ref="A185:G185"/>
    <mergeCell ref="A184:G184"/>
    <mergeCell ref="A181:G181"/>
    <mergeCell ref="A180:G180"/>
    <mergeCell ref="A162:G162"/>
    <mergeCell ref="A167:G167"/>
    <mergeCell ref="A166:G166"/>
    <mergeCell ref="A163:G163"/>
    <mergeCell ref="A168:G168"/>
    <mergeCell ref="A165:G165"/>
    <mergeCell ref="A164:G164"/>
    <mergeCell ref="A174:G174"/>
    <mergeCell ref="A173:G173"/>
    <mergeCell ref="A172:G172"/>
    <mergeCell ref="A171:G171"/>
    <mergeCell ref="A56:G56"/>
    <mergeCell ref="A100:G100"/>
    <mergeCell ref="A107:G107"/>
    <mergeCell ref="A99:G99"/>
    <mergeCell ref="A98:G98"/>
    <mergeCell ref="A93:G93"/>
    <mergeCell ref="A95:G95"/>
    <mergeCell ref="A96:G96"/>
    <mergeCell ref="A94:G94"/>
    <mergeCell ref="A97:G97"/>
    <mergeCell ref="A101:G101"/>
    <mergeCell ref="A103:G103"/>
    <mergeCell ref="A102:G102"/>
    <mergeCell ref="A92:G92"/>
    <mergeCell ref="A91:G91"/>
    <mergeCell ref="A90:G90"/>
    <mergeCell ref="A86:G86"/>
    <mergeCell ref="A87:G87"/>
    <mergeCell ref="A85:G85"/>
    <mergeCell ref="A74:G74"/>
    <mergeCell ref="A76:G76"/>
    <mergeCell ref="A75:G75"/>
    <mergeCell ref="A82:G82"/>
    <mergeCell ref="A80:G80"/>
    <mergeCell ref="A161:G161"/>
    <mergeCell ref="A158:G158"/>
    <mergeCell ref="A159:G159"/>
    <mergeCell ref="A160:G160"/>
    <mergeCell ref="A144:G144"/>
    <mergeCell ref="A143:G143"/>
    <mergeCell ref="A153:G153"/>
    <mergeCell ref="A154:G154"/>
    <mergeCell ref="A152:G152"/>
    <mergeCell ref="A157:G157"/>
    <mergeCell ref="A155:G155"/>
    <mergeCell ref="A156:G156"/>
    <mergeCell ref="A151:G151"/>
    <mergeCell ref="A138:G138"/>
    <mergeCell ref="A137:G137"/>
    <mergeCell ref="A141:G141"/>
    <mergeCell ref="A139:G139"/>
    <mergeCell ref="A140:G140"/>
    <mergeCell ref="A136:G136"/>
    <mergeCell ref="A145:G145"/>
    <mergeCell ref="A142:G142"/>
    <mergeCell ref="A150:G150"/>
    <mergeCell ref="A149:G149"/>
    <mergeCell ref="A147:G147"/>
    <mergeCell ref="A146:G146"/>
    <mergeCell ref="A148:G148"/>
    <mergeCell ref="A124:G124"/>
    <mergeCell ref="A120:G120"/>
    <mergeCell ref="A134:G134"/>
    <mergeCell ref="A135:G135"/>
    <mergeCell ref="A131:G131"/>
    <mergeCell ref="A133:G133"/>
    <mergeCell ref="A130:G130"/>
    <mergeCell ref="A129:G129"/>
    <mergeCell ref="A132:G132"/>
    <mergeCell ref="A127:G127"/>
    <mergeCell ref="A125:G125"/>
    <mergeCell ref="A126:G126"/>
    <mergeCell ref="A128:G128"/>
    <mergeCell ref="A119:G119"/>
    <mergeCell ref="A118:G118"/>
    <mergeCell ref="A123:G123"/>
    <mergeCell ref="A121:G121"/>
    <mergeCell ref="A122:G122"/>
    <mergeCell ref="A104:G104"/>
    <mergeCell ref="A105:G105"/>
    <mergeCell ref="A112:G112"/>
    <mergeCell ref="A108:G108"/>
    <mergeCell ref="A111:G111"/>
    <mergeCell ref="A110:G110"/>
    <mergeCell ref="A109:G109"/>
    <mergeCell ref="A114:G114"/>
    <mergeCell ref="A113:G113"/>
    <mergeCell ref="A106:G106"/>
    <mergeCell ref="A81:G81"/>
    <mergeCell ref="A77:G77"/>
    <mergeCell ref="A84:G84"/>
    <mergeCell ref="A83:G83"/>
    <mergeCell ref="A89:G89"/>
    <mergeCell ref="A88:G88"/>
    <mergeCell ref="A79:G79"/>
    <mergeCell ref="A78:G78"/>
    <mergeCell ref="A117:G117"/>
    <mergeCell ref="A116:G116"/>
    <mergeCell ref="A115:G1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945"/>
  <sheetViews>
    <sheetView workbookViewId="0"/>
  </sheetViews>
  <sheetFormatPr defaultColWidth="14.42578125" defaultRowHeight="15.75" customHeight="1"/>
  <cols>
    <col min="1" max="1" width="23.42578125" customWidth="1"/>
    <col min="3" max="3" width="13.42578125" customWidth="1"/>
    <col min="4" max="4" width="7.28515625" customWidth="1"/>
    <col min="5" max="5" width="25.5703125" customWidth="1"/>
  </cols>
  <sheetData>
    <row r="1" spans="1:26" ht="6.75" customHeight="1">
      <c r="A1" s="1"/>
      <c r="B1" s="1"/>
      <c r="C1" s="1"/>
      <c r="D1" s="1"/>
      <c r="E1" s="1"/>
      <c r="F1" s="1"/>
      <c r="H1" s="3"/>
      <c r="I1" s="3"/>
      <c r="J1" s="3"/>
      <c r="K1" s="3"/>
      <c r="L1" s="3"/>
      <c r="M1" s="3"/>
      <c r="N1" s="3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6.75" customHeight="1">
      <c r="A2" s="6"/>
      <c r="B2" s="6"/>
      <c r="C2" s="6"/>
      <c r="D2" s="8"/>
      <c r="E2" s="8"/>
      <c r="F2" s="8"/>
      <c r="G2" s="3"/>
      <c r="H2" s="3"/>
      <c r="I2" s="3"/>
      <c r="J2" s="3"/>
      <c r="K2" s="3"/>
      <c r="L2" s="3"/>
      <c r="M2" s="3"/>
      <c r="N2" s="3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>
      <c r="A3" s="171" t="s">
        <v>2</v>
      </c>
      <c r="B3" s="149"/>
      <c r="C3" s="149"/>
      <c r="D3" s="149"/>
      <c r="E3" s="149"/>
      <c r="F3" s="149"/>
      <c r="G3" s="149"/>
      <c r="H3" s="3"/>
      <c r="I3" s="3"/>
      <c r="J3" s="3"/>
      <c r="K3" s="3"/>
      <c r="L3" s="3"/>
      <c r="M3" s="3"/>
      <c r="N3" s="3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>
      <c r="A4" s="1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">
      <c r="A5" s="13" t="s">
        <v>3</v>
      </c>
      <c r="B5" s="14" t="s">
        <v>4</v>
      </c>
      <c r="C5" s="15" t="s">
        <v>5</v>
      </c>
      <c r="D5" s="3"/>
      <c r="E5" s="13" t="s">
        <v>6</v>
      </c>
      <c r="F5" s="14" t="s">
        <v>4</v>
      </c>
      <c r="G5" s="15" t="s">
        <v>5</v>
      </c>
      <c r="H5" s="3"/>
      <c r="I5" s="3"/>
      <c r="J5" s="3"/>
      <c r="K5" s="3"/>
      <c r="L5" s="3"/>
      <c r="M5" s="3"/>
      <c r="N5" s="3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>
      <c r="A6" s="17" t="s">
        <v>7</v>
      </c>
      <c r="B6" s="19">
        <f>COUNTIF(Data!B$2:B$300,"18–25 років")</f>
        <v>0</v>
      </c>
      <c r="C6" s="20">
        <f>B6/COUNT(Data!$A$2:$A$500)</f>
        <v>0</v>
      </c>
      <c r="D6" s="3"/>
      <c r="E6" s="17" t="s">
        <v>9</v>
      </c>
      <c r="F6" s="19">
        <f>COUNTIF(Data!C$2:C$500,"Чоловіча")</f>
        <v>15</v>
      </c>
      <c r="G6" s="20">
        <f>F6/COUNT(Data!$A$2:$A$500)</f>
        <v>0.5</v>
      </c>
      <c r="H6" s="3"/>
      <c r="I6" s="3"/>
      <c r="J6" s="3"/>
      <c r="K6" s="3"/>
      <c r="L6" s="3"/>
      <c r="M6" s="3"/>
      <c r="N6" s="3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>
      <c r="A7" s="17" t="s">
        <v>10</v>
      </c>
      <c r="B7" s="19">
        <f>COUNTIF(Data!B$2:B$300,"26–39 років")</f>
        <v>11</v>
      </c>
      <c r="C7" s="20">
        <f>B7/COUNT(Data!$A$2:$A$500)</f>
        <v>0.36666666666666664</v>
      </c>
      <c r="D7" s="3"/>
      <c r="E7" s="17" t="s">
        <v>11</v>
      </c>
      <c r="F7" s="19">
        <f>COUNTIF(Data!C$2:C$500,"Жіноча")</f>
        <v>15</v>
      </c>
      <c r="G7" s="20">
        <f>F7/COUNT(Data!$A$2:$A$500)</f>
        <v>0.5</v>
      </c>
      <c r="H7" s="3"/>
      <c r="I7" s="3"/>
      <c r="J7" s="3"/>
      <c r="K7" s="3"/>
      <c r="L7" s="3"/>
      <c r="M7" s="3"/>
      <c r="N7" s="3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>
      <c r="A8" s="17" t="s">
        <v>12</v>
      </c>
      <c r="B8" s="19">
        <f>COUNTIF(Data!B$2:B$300,"40–59 років")</f>
        <v>13</v>
      </c>
      <c r="C8" s="20">
        <f>B8/COUNT(Data!$A$2:$A$500)</f>
        <v>0.43333333333333335</v>
      </c>
      <c r="D8" s="3"/>
      <c r="E8" s="1"/>
      <c r="F8" s="1"/>
      <c r="G8" s="25"/>
      <c r="H8" s="3"/>
      <c r="I8" s="3"/>
      <c r="J8" s="3"/>
      <c r="K8" s="3"/>
      <c r="L8" s="3"/>
      <c r="M8" s="3"/>
      <c r="N8" s="3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>
      <c r="A9" s="17" t="s">
        <v>13</v>
      </c>
      <c r="B9" s="19">
        <f>COUNTIF(Data!B$2:B$300,"60 років і старше")</f>
        <v>6</v>
      </c>
      <c r="C9" s="20">
        <f>B9/COUNT(Data!$A$2:$A$500)</f>
        <v>0.2</v>
      </c>
      <c r="D9" s="3"/>
      <c r="E9" s="1"/>
      <c r="F9" s="1"/>
      <c r="G9" s="25"/>
      <c r="H9" s="3"/>
      <c r="I9" s="3"/>
      <c r="J9" s="3"/>
      <c r="K9" s="3"/>
      <c r="L9" s="3"/>
      <c r="M9" s="3"/>
      <c r="N9" s="3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>
      <c r="A11" s="13" t="s">
        <v>14</v>
      </c>
      <c r="B11" s="14" t="s">
        <v>4</v>
      </c>
      <c r="C11" s="15" t="s">
        <v>5</v>
      </c>
      <c r="D11" s="3"/>
      <c r="E11" s="26" t="s">
        <v>15</v>
      </c>
      <c r="F11" s="14" t="s">
        <v>4</v>
      </c>
      <c r="G11" s="15" t="s">
        <v>5</v>
      </c>
      <c r="H11" s="3"/>
      <c r="I11" s="3"/>
      <c r="J11" s="3"/>
      <c r="K11" s="3"/>
      <c r="L11" s="3"/>
      <c r="M11" s="3"/>
      <c r="N11" s="3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>
      <c r="A12" s="27" t="s">
        <v>16</v>
      </c>
      <c r="B12" s="19">
        <f>COUNTIF(Data!D$2:D$300,"Середня та неповна середня")</f>
        <v>8</v>
      </c>
      <c r="C12" s="20">
        <f>B12/COUNT(Data!$A$2:$A$500)</f>
        <v>0.26666666666666666</v>
      </c>
      <c r="D12" s="3"/>
      <c r="E12" s="17" t="s">
        <v>17</v>
      </c>
      <c r="F12" s="19">
        <f>COUNTIF(Data!E$2:E$500,"Так")</f>
        <v>9</v>
      </c>
      <c r="G12" s="20">
        <f>F12/COUNT(Data!$A$2:$A$500)</f>
        <v>0.3</v>
      </c>
      <c r="H12" s="3"/>
      <c r="I12" s="3"/>
      <c r="J12" s="3"/>
      <c r="K12" s="3"/>
      <c r="L12" s="3"/>
      <c r="M12" s="3"/>
      <c r="N12" s="3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>
      <c r="A13" s="27" t="s">
        <v>19</v>
      </c>
      <c r="B13" s="19">
        <f>COUNTIF(Data!D$2:D$300,"Вища та неповна вища")</f>
        <v>21</v>
      </c>
      <c r="C13" s="20">
        <f>B13/COUNT(Data!$A$2:$A$500)</f>
        <v>0.7</v>
      </c>
      <c r="D13" s="3"/>
      <c r="E13" s="17" t="s">
        <v>20</v>
      </c>
      <c r="F13" s="19">
        <f>COUNTIF(Data!E$2:E$500,"Ні")</f>
        <v>21</v>
      </c>
      <c r="G13" s="20">
        <f>F13/COUNT(Data!$A$2:$A$500)</f>
        <v>0.7</v>
      </c>
      <c r="H13" s="3"/>
      <c r="I13" s="3"/>
      <c r="J13" s="3"/>
      <c r="K13" s="3"/>
      <c r="L13" s="3"/>
      <c r="M13" s="3"/>
      <c r="N13" s="3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>
      <c r="A14" s="27" t="s">
        <v>21</v>
      </c>
      <c r="B14" s="19">
        <f>COUNTIF(Data!D$2:D$300,"Інше (вкажіть)")</f>
        <v>1</v>
      </c>
      <c r="C14" s="20">
        <f>B14/COUNT(Data!$A$2:$A$500)</f>
        <v>3.3333333333333333E-2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">
      <c r="A16" s="13" t="s">
        <v>23</v>
      </c>
      <c r="B16" s="14" t="s">
        <v>4</v>
      </c>
      <c r="C16" s="15" t="s">
        <v>5</v>
      </c>
      <c r="D16" s="3"/>
      <c r="E16" s="1"/>
      <c r="F16" s="1"/>
      <c r="G16" s="1"/>
      <c r="H16" s="3"/>
      <c r="I16" s="3"/>
      <c r="J16" s="3"/>
      <c r="K16" s="3"/>
      <c r="L16" s="3"/>
      <c r="M16" s="3"/>
      <c r="N16" s="3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30">
      <c r="A17" s="29" t="s">
        <v>24</v>
      </c>
      <c r="B17" s="19">
        <f>COUNTIF(Data!F$2:F$300,"В населеному пункті, де розташований цей суд")</f>
        <v>20</v>
      </c>
      <c r="C17" s="20">
        <f>B17/COUNT(Data!$A$2:$A$500)</f>
        <v>0.66666666666666663</v>
      </c>
      <c r="D17" s="3"/>
      <c r="E17" s="1"/>
      <c r="F17" s="1"/>
      <c r="G17" s="25"/>
      <c r="H17" s="3"/>
      <c r="I17" s="3"/>
      <c r="J17" s="3"/>
      <c r="K17" s="3"/>
      <c r="L17" s="3"/>
      <c r="M17" s="3"/>
      <c r="N17" s="3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30">
      <c r="A18" s="29" t="s">
        <v>26</v>
      </c>
      <c r="B18" s="19">
        <f>COUNTIF(Data!F$2:F$300,"В іншому населеному пункті")</f>
        <v>10</v>
      </c>
      <c r="C18" s="20">
        <f>B18/COUNT(Data!$A$2:$A$500)</f>
        <v>0.33333333333333331</v>
      </c>
      <c r="D18" s="3"/>
      <c r="E18" s="1"/>
      <c r="F18" s="1"/>
      <c r="G18" s="25"/>
      <c r="H18" s="3"/>
      <c r="I18" s="3"/>
      <c r="J18" s="3"/>
      <c r="K18" s="3"/>
      <c r="L18" s="3"/>
      <c r="M18" s="3"/>
      <c r="N18" s="3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">
      <c r="A19" s="3"/>
      <c r="B19" s="3"/>
      <c r="C19" s="3"/>
      <c r="D19" s="3"/>
      <c r="E19" s="1"/>
      <c r="F19" s="1"/>
      <c r="G19" s="25"/>
      <c r="H19" s="3"/>
      <c r="I19" s="3"/>
      <c r="J19" s="3"/>
      <c r="K19" s="3"/>
      <c r="L19" s="3"/>
      <c r="M19" s="3"/>
      <c r="N19" s="3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>
      <c r="A20" s="170" t="s">
        <v>27</v>
      </c>
      <c r="B20" s="134"/>
      <c r="C20" s="134"/>
      <c r="D20" s="134"/>
      <c r="E20" s="135"/>
      <c r="F20" s="14" t="s">
        <v>4</v>
      </c>
      <c r="G20" s="15" t="s">
        <v>5</v>
      </c>
      <c r="H20" s="3"/>
      <c r="I20" s="3"/>
      <c r="J20" s="3"/>
      <c r="K20" s="3"/>
      <c r="L20" s="3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6" ht="15">
      <c r="A21" s="161" t="s">
        <v>29</v>
      </c>
      <c r="B21" s="162"/>
      <c r="C21" s="162"/>
      <c r="D21" s="162"/>
      <c r="E21" s="163"/>
      <c r="F21" s="32">
        <f>COUNTIF(Data!G$2:G$300,"Змушені економити на харчуванні")</f>
        <v>7</v>
      </c>
      <c r="G21" s="20">
        <f>F21/COUNT(Data!$A$2:$A$500)</f>
        <v>0.23333333333333334</v>
      </c>
      <c r="H21" s="3"/>
      <c r="I21" s="3"/>
      <c r="J21" s="3"/>
      <c r="K21" s="3"/>
      <c r="L21" s="3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6" ht="15">
      <c r="A22" s="161" t="s">
        <v>30</v>
      </c>
      <c r="B22" s="162"/>
      <c r="C22" s="162"/>
      <c r="D22" s="162"/>
      <c r="E22" s="163"/>
      <c r="F22" s="32">
        <f>COUNTIF(Data!G$2:G$300,"Вистачає на харчування та необхідний одяг, взуття. Для таких покупок як гарний  костюм, мобільний телефон, пилосос необхідно заощадити або позичити")</f>
        <v>5</v>
      </c>
      <c r="G22" s="20">
        <f>F22/COUNT(Data!$A$2:$A$500)</f>
        <v>0.16666666666666666</v>
      </c>
      <c r="H22" s="3"/>
      <c r="I22" s="3"/>
      <c r="J22" s="3"/>
      <c r="K22" s="3"/>
      <c r="L22" s="3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6" ht="15">
      <c r="A23" s="161" t="s">
        <v>31</v>
      </c>
      <c r="B23" s="162"/>
      <c r="C23" s="162"/>
      <c r="D23" s="162"/>
      <c r="E23" s="163"/>
      <c r="F23" s="32">
        <f>COUNTIF(Data!G$2:G$300,"Вистачає на харчування, одяг, взуття, інші покупки. Але для придбання речей, які дорого коштують (таких як сучасний телевізор, холодильник, меблі) необхідно заощадити або позичити")</f>
        <v>11</v>
      </c>
      <c r="G23" s="20">
        <f>F23/COUNT(Data!$A$2:$A$500)</f>
        <v>0.36666666666666664</v>
      </c>
      <c r="H23" s="3"/>
      <c r="I23" s="3"/>
      <c r="J23" s="3"/>
      <c r="K23" s="3"/>
      <c r="L23" s="3"/>
      <c r="M23" s="3"/>
      <c r="N23" s="3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">
      <c r="A24" s="161" t="s">
        <v>32</v>
      </c>
      <c r="B24" s="162"/>
      <c r="C24" s="162"/>
      <c r="D24" s="162"/>
      <c r="E24" s="163"/>
      <c r="F24" s="32">
        <f>COUNTIF(Data!G$2:G$300,"Вистачає на харчування, одяг, взуття, дорогі покупки. Для таких покупок як машина, квартира необхідно заощадити або позичити")</f>
        <v>6</v>
      </c>
      <c r="G24" s="20">
        <f>F24/COUNT(Data!$A$2:$A$500)</f>
        <v>0.2</v>
      </c>
      <c r="H24" s="3"/>
      <c r="I24" s="3"/>
      <c r="J24" s="3"/>
      <c r="K24" s="3"/>
      <c r="L24" s="3"/>
      <c r="M24" s="3"/>
      <c r="N24" s="3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">
      <c r="A25" s="161" t="s">
        <v>34</v>
      </c>
      <c r="B25" s="162"/>
      <c r="C25" s="162"/>
      <c r="D25" s="162"/>
      <c r="E25" s="163"/>
      <c r="F25" s="32">
        <f>COUNTIF(Data!G$2:G$300,"Будь-які необхідні покупки можу зробити в будь-який час")</f>
        <v>0</v>
      </c>
      <c r="G25" s="20">
        <f>F25/COUNT(Data!$A$2:$A$500)</f>
        <v>0</v>
      </c>
      <c r="H25" s="3"/>
      <c r="I25" s="3"/>
      <c r="J25" s="3"/>
      <c r="K25" s="3"/>
      <c r="L25" s="3"/>
      <c r="M25" s="3"/>
      <c r="N25" s="3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">
      <c r="A26" s="161" t="s">
        <v>35</v>
      </c>
      <c r="B26" s="162"/>
      <c r="C26" s="162"/>
      <c r="D26" s="162"/>
      <c r="E26" s="163"/>
      <c r="F26" s="32">
        <f>COUNTIF(Data!G$2:G$300,"КН (код невідповіді)")</f>
        <v>1</v>
      </c>
      <c r="G26" s="20">
        <f>F26/COUNT(Data!$A$2:$A$500)</f>
        <v>3.3333333333333333E-2</v>
      </c>
      <c r="H26" s="3"/>
      <c r="I26" s="3"/>
      <c r="J26" s="3"/>
      <c r="K26" s="3"/>
      <c r="L26" s="3"/>
      <c r="M26" s="3"/>
      <c r="N26" s="3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">
      <c r="A27" s="3"/>
      <c r="B27" s="3"/>
      <c r="C27" s="3"/>
      <c r="D27" s="3"/>
      <c r="E27" s="1"/>
      <c r="F27" s="1"/>
      <c r="G27" s="25"/>
      <c r="H27" s="3"/>
      <c r="I27" s="3"/>
      <c r="J27" s="3"/>
      <c r="K27" s="3"/>
      <c r="L27" s="3"/>
      <c r="M27" s="3"/>
      <c r="N27" s="3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">
      <c r="A28" s="170" t="s">
        <v>37</v>
      </c>
      <c r="B28" s="134"/>
      <c r="C28" s="134"/>
      <c r="D28" s="134"/>
      <c r="E28" s="135"/>
      <c r="F28" s="14" t="s">
        <v>4</v>
      </c>
      <c r="G28" s="15" t="s">
        <v>5</v>
      </c>
      <c r="H28" s="3"/>
      <c r="I28" s="3"/>
      <c r="J28" s="3"/>
      <c r="K28" s="3"/>
      <c r="L28" s="3"/>
      <c r="M28" s="3"/>
      <c r="N28" s="3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">
      <c r="A29" s="161" t="s">
        <v>38</v>
      </c>
      <c r="B29" s="162"/>
      <c r="C29" s="162"/>
      <c r="D29" s="162"/>
      <c r="E29" s="163"/>
      <c r="F29" s="32">
        <f>COUNTIF(Data!H$2:H$500,"Є учасником судових проваджень і представляєте особисто себе")</f>
        <v>9</v>
      </c>
      <c r="G29" s="20">
        <f>F29/COUNT(Data!$A$2:$A$500)</f>
        <v>0.3</v>
      </c>
      <c r="H29" s="3"/>
      <c r="I29" s="3"/>
      <c r="J29" s="3"/>
      <c r="K29" s="3"/>
      <c r="L29" s="3"/>
      <c r="M29" s="3"/>
      <c r="N29" s="3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">
      <c r="A30" s="161" t="s">
        <v>39</v>
      </c>
      <c r="B30" s="162"/>
      <c r="C30" s="162"/>
      <c r="D30" s="162"/>
      <c r="E30" s="163"/>
      <c r="F30" s="32">
        <f>COUNTIF(Data!H$2:H$500,"Є учасником судових проваджень, але представляєте іншу фізичну чи юридичну особу (є адвокатом, представником прокуратури, юрист-консультантом)")</f>
        <v>9</v>
      </c>
      <c r="G30" s="20">
        <f>F30/COUNT(Data!$A$2:$A$500)</f>
        <v>0.3</v>
      </c>
      <c r="H30" s="3"/>
      <c r="I30" s="3"/>
      <c r="J30" s="3"/>
      <c r="K30" s="3"/>
      <c r="L30" s="3"/>
      <c r="M30" s="3"/>
      <c r="N30" s="3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">
      <c r="A31" s="161" t="s">
        <v>40</v>
      </c>
      <c r="B31" s="162"/>
      <c r="C31" s="162"/>
      <c r="D31" s="162"/>
      <c r="E31" s="163"/>
      <c r="F31" s="32">
        <f>COUNTIF(Data!H$2:H$500,"Не є учасником судових проваджень")</f>
        <v>10</v>
      </c>
      <c r="G31" s="20">
        <f>F31/COUNT(Data!$A$2:$A$500)</f>
        <v>0.33333333333333331</v>
      </c>
      <c r="H31" s="3"/>
      <c r="I31" s="3"/>
      <c r="J31" s="3"/>
      <c r="K31" s="3"/>
      <c r="L31" s="3"/>
      <c r="M31" s="3"/>
      <c r="N31" s="3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">
      <c r="A32" s="161" t="s">
        <v>21</v>
      </c>
      <c r="B32" s="162"/>
      <c r="C32" s="162"/>
      <c r="D32" s="162"/>
      <c r="E32" s="163"/>
      <c r="F32" s="32">
        <f>COUNTIF(Data!H$2:H$500,"Інше")</f>
        <v>2</v>
      </c>
      <c r="G32" s="20">
        <f>F32/COUNT(Data!$A$2:$A$500)</f>
        <v>6.6666666666666666E-2</v>
      </c>
      <c r="H32" s="3"/>
      <c r="I32" s="3"/>
      <c r="J32" s="3"/>
      <c r="K32" s="3"/>
      <c r="L32" s="3"/>
      <c r="M32" s="3"/>
      <c r="N32" s="3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">
      <c r="A33" s="3"/>
      <c r="B33" s="3"/>
      <c r="C33" s="3"/>
      <c r="D33" s="3"/>
      <c r="E33" s="1"/>
      <c r="F33" s="1"/>
      <c r="G33" s="25"/>
      <c r="H33" s="3"/>
      <c r="I33" s="3"/>
      <c r="J33" s="3"/>
      <c r="K33" s="3"/>
      <c r="L33" s="3"/>
      <c r="M33" s="3"/>
      <c r="N33" s="3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63">
      <c r="A34" s="35" t="s">
        <v>42</v>
      </c>
      <c r="B34" s="36" t="s">
        <v>4</v>
      </c>
      <c r="C34" s="37" t="s">
        <v>5</v>
      </c>
      <c r="D34" s="3"/>
      <c r="E34" s="35" t="s">
        <v>43</v>
      </c>
      <c r="F34" s="36" t="s">
        <v>4</v>
      </c>
      <c r="G34" s="37" t="s">
        <v>5</v>
      </c>
      <c r="H34" s="3"/>
      <c r="I34" s="3"/>
      <c r="J34" s="3"/>
      <c r="K34" s="3"/>
      <c r="L34" s="3"/>
      <c r="M34" s="3"/>
      <c r="N34" s="3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">
      <c r="A35" s="38" t="s">
        <v>44</v>
      </c>
      <c r="B35" s="19">
        <f>COUNTIF(Data!I$2:I$500,"Цивільний процес")</f>
        <v>15</v>
      </c>
      <c r="C35" s="20">
        <f>B35/COUNT(Data!$A$2:$A$500)</f>
        <v>0.5</v>
      </c>
      <c r="D35" s="3"/>
      <c r="E35" s="39" t="s">
        <v>45</v>
      </c>
      <c r="F35" s="19">
        <f>COUNTIF(Data!J$2:J$500,"Розгляд справи ще не розпочато")</f>
        <v>4</v>
      </c>
      <c r="G35" s="20">
        <f>F35/COUNT(Data!$A$2:$A$500)</f>
        <v>0.13333333333333333</v>
      </c>
      <c r="H35" s="3"/>
      <c r="I35" s="3"/>
      <c r="J35" s="3"/>
      <c r="K35" s="3"/>
      <c r="L35" s="3"/>
      <c r="M35" s="3"/>
      <c r="N35" s="3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">
      <c r="A36" s="38" t="s">
        <v>47</v>
      </c>
      <c r="B36" s="19">
        <f>COUNTIF(Data!I$2:I$500,"Кримінальний процес")</f>
        <v>6</v>
      </c>
      <c r="C36" s="20">
        <f>B36/COUNT(Data!$A$2:$A$500)</f>
        <v>0.2</v>
      </c>
      <c r="D36" s="3"/>
      <c r="E36" s="39" t="s">
        <v>48</v>
      </c>
      <c r="F36" s="19">
        <f>COUNTIF(Data!J$2:J$500,"Справа перебуває в процесі розгляду")</f>
        <v>8</v>
      </c>
      <c r="G36" s="20">
        <f>F36/COUNT(Data!$A$2:$A$500)</f>
        <v>0.26666666666666666</v>
      </c>
      <c r="H36" s="3"/>
      <c r="I36" s="3"/>
      <c r="J36" s="3"/>
      <c r="K36" s="3"/>
      <c r="L36" s="3"/>
      <c r="M36" s="3"/>
      <c r="N36" s="3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30">
      <c r="A37" s="41" t="s">
        <v>49</v>
      </c>
      <c r="B37" s="19">
        <f>COUNTIF(Data!I$2:I$500,"Адміністративний процес")</f>
        <v>5</v>
      </c>
      <c r="C37" s="20">
        <f>B37/COUNT(Data!$A$2:$A$500)</f>
        <v>0.16666666666666666</v>
      </c>
      <c r="D37" s="3"/>
      <c r="E37" s="39" t="s">
        <v>50</v>
      </c>
      <c r="F37" s="19">
        <f>COUNTIF(Data!J$2:J$500,"Розгляд справи завершено (винесено рішення)")</f>
        <v>12</v>
      </c>
      <c r="G37" s="20">
        <f>F37/COUNT(Data!$A$2:$A$500)</f>
        <v>0.4</v>
      </c>
      <c r="H37" s="3"/>
      <c r="I37" s="3"/>
      <c r="J37" s="3"/>
      <c r="K37" s="3"/>
      <c r="L37" s="3"/>
      <c r="M37" s="3"/>
      <c r="N37" s="3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">
      <c r="A38" s="41" t="s">
        <v>51</v>
      </c>
      <c r="B38" s="19">
        <f>COUNTIF(Data!I$2:I$500,"Господарський процес")</f>
        <v>0</v>
      </c>
      <c r="C38" s="20">
        <f>B38/COUNT(Data!$A$2:$A$500)</f>
        <v>0</v>
      </c>
      <c r="D38" s="3"/>
      <c r="E38" s="39" t="s">
        <v>21</v>
      </c>
      <c r="F38" s="19">
        <f>COUNTIF(Data!J$2:J$500,"Інше")</f>
        <v>6</v>
      </c>
      <c r="G38" s="20">
        <f>F38/COUNT(Data!$A$2:$A$500)</f>
        <v>0.2</v>
      </c>
      <c r="H38" s="3"/>
      <c r="I38" s="3"/>
      <c r="J38" s="3"/>
      <c r="K38" s="3"/>
      <c r="L38" s="3"/>
      <c r="M38" s="3"/>
      <c r="N38" s="3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45">
      <c r="A39" s="41" t="s">
        <v>52</v>
      </c>
      <c r="B39" s="19">
        <f>COUNTIF(Data!I$2:I$500,"Справа про адміністративні  правопорушення")</f>
        <v>0</v>
      </c>
      <c r="C39" s="20">
        <f>B39/COUNT(Data!$A$2:$A$500)</f>
        <v>0</v>
      </c>
      <c r="D39" s="3"/>
      <c r="F39" s="1"/>
      <c r="G39" s="25"/>
      <c r="H39" s="3"/>
      <c r="I39" s="3"/>
      <c r="J39" s="3"/>
      <c r="K39" s="3"/>
      <c r="L39" s="3"/>
      <c r="M39" s="3"/>
      <c r="N39" s="3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">
      <c r="A40" s="3"/>
      <c r="B40" s="3"/>
      <c r="C40" s="3"/>
      <c r="D40" s="3"/>
      <c r="E40" s="1"/>
      <c r="F40" s="1"/>
      <c r="G40" s="25"/>
      <c r="H40" s="3"/>
      <c r="I40" s="3"/>
      <c r="J40" s="3"/>
      <c r="K40" s="3"/>
      <c r="L40" s="3"/>
      <c r="M40" s="3"/>
      <c r="N40" s="3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">
      <c r="A41" s="158" t="s">
        <v>54</v>
      </c>
      <c r="B41" s="134"/>
      <c r="C41" s="134"/>
      <c r="D41" s="134"/>
      <c r="E41" s="135"/>
      <c r="F41" s="36" t="s">
        <v>4</v>
      </c>
      <c r="G41" s="37" t="s">
        <v>5</v>
      </c>
      <c r="H41" s="3"/>
      <c r="I41" s="3"/>
      <c r="J41" s="3"/>
      <c r="K41" s="3"/>
      <c r="L41" s="3"/>
      <c r="M41" s="3"/>
      <c r="N41" s="3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">
      <c r="A42" s="45" t="s">
        <v>55</v>
      </c>
      <c r="B42" s="46"/>
      <c r="C42" s="46"/>
      <c r="D42" s="46"/>
      <c r="E42" s="47"/>
      <c r="F42" s="19">
        <f>COUNTIF(Data!K$2:K$500,"Не був ніколи учасником процесу в цьому суді")</f>
        <v>10</v>
      </c>
      <c r="G42" s="20">
        <f>F42/COUNT(Data!$A$2:$A$500)</f>
        <v>0.33333333333333331</v>
      </c>
      <c r="H42" s="3"/>
      <c r="I42" s="3"/>
      <c r="J42" s="3"/>
      <c r="K42" s="3"/>
      <c r="L42" s="3"/>
      <c r="M42" s="3"/>
      <c r="N42" s="3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">
      <c r="A43" s="45" t="s">
        <v>56</v>
      </c>
      <c r="B43" s="46"/>
      <c r="C43" s="46"/>
      <c r="D43" s="46"/>
      <c r="E43" s="47"/>
      <c r="F43" s="19">
        <f>COUNTIF(Data!K$2:K$500,"Це мій перший судовий процес")</f>
        <v>8</v>
      </c>
      <c r="G43" s="20">
        <f>F43/COUNT(Data!$A$2:$A$500)</f>
        <v>0.26666666666666666</v>
      </c>
      <c r="H43" s="3"/>
      <c r="I43" s="3"/>
      <c r="J43" s="3"/>
      <c r="K43" s="3"/>
      <c r="L43" s="3"/>
      <c r="M43" s="3"/>
      <c r="N43" s="3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">
      <c r="A44" s="45" t="s">
        <v>57</v>
      </c>
      <c r="B44" s="46"/>
      <c r="C44" s="46"/>
      <c r="D44" s="46"/>
      <c r="E44" s="47"/>
      <c r="F44" s="19">
        <f>COUNTIF(Data!K$2:K$500,"2–5 разів")</f>
        <v>2</v>
      </c>
      <c r="G44" s="20">
        <f>F44/COUNT(Data!$A$2:$A$500)</f>
        <v>6.6666666666666666E-2</v>
      </c>
      <c r="H44" s="3"/>
      <c r="I44" s="3"/>
      <c r="J44" s="3"/>
      <c r="K44" s="3"/>
      <c r="L44" s="3"/>
      <c r="M44" s="3"/>
      <c r="N44" s="3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>
      <c r="A45" s="45" t="s">
        <v>58</v>
      </c>
      <c r="B45" s="46"/>
      <c r="C45" s="46"/>
      <c r="D45" s="46"/>
      <c r="E45" s="47"/>
      <c r="F45" s="19">
        <f>COUNTIF(Data!K$2:K$500,"6 разів і більше")</f>
        <v>10</v>
      </c>
      <c r="G45" s="20">
        <f>F45/COUNT(Data!$A$2:$A$500)</f>
        <v>0.33333333333333331</v>
      </c>
      <c r="H45" s="3"/>
      <c r="I45" s="3"/>
      <c r="J45" s="3"/>
      <c r="K45" s="3"/>
      <c r="L45" s="3"/>
      <c r="M45" s="3"/>
      <c r="N45" s="3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>
      <c r="A46" s="3"/>
      <c r="B46" s="3"/>
      <c r="C46" s="3"/>
      <c r="D46" s="3"/>
      <c r="E46" s="1"/>
      <c r="F46" s="1"/>
      <c r="G46" s="25"/>
      <c r="H46" s="3"/>
      <c r="I46" s="3"/>
      <c r="J46" s="3"/>
      <c r="K46" s="3"/>
      <c r="L46" s="3"/>
      <c r="M46" s="3"/>
      <c r="N46" s="3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>
      <c r="A47" s="49" t="s">
        <v>59</v>
      </c>
      <c r="B47" s="13"/>
      <c r="C47" s="13"/>
      <c r="D47" s="13"/>
      <c r="E47" s="13"/>
      <c r="F47" s="36" t="s">
        <v>4</v>
      </c>
      <c r="G47" s="37" t="s">
        <v>5</v>
      </c>
      <c r="H47" s="3"/>
      <c r="I47" s="3"/>
      <c r="J47" s="3"/>
      <c r="K47" s="3"/>
      <c r="L47" s="3"/>
      <c r="M47" s="3"/>
      <c r="N47" s="3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">
      <c r="A48" s="167" t="s">
        <v>55</v>
      </c>
      <c r="B48" s="134"/>
      <c r="C48" s="134"/>
      <c r="D48" s="134"/>
      <c r="E48" s="135"/>
      <c r="F48" s="19">
        <f>COUNTIF(Data!L$2:L$500,"Жодного разу")</f>
        <v>12</v>
      </c>
      <c r="G48" s="20">
        <f>F48/COUNT(Data!$A$2:$A$500)</f>
        <v>0.4</v>
      </c>
      <c r="H48" s="3"/>
      <c r="I48" s="3"/>
      <c r="J48" s="3"/>
      <c r="K48" s="3"/>
      <c r="L48" s="3"/>
      <c r="M48" s="3"/>
      <c r="N48" s="3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">
      <c r="A49" s="167" t="s">
        <v>56</v>
      </c>
      <c r="B49" s="134"/>
      <c r="C49" s="134"/>
      <c r="D49" s="134"/>
      <c r="E49" s="135"/>
      <c r="F49" s="19">
        <f>COUNTIF(Data!L$2:L$500,"Один раз")</f>
        <v>6</v>
      </c>
      <c r="G49" s="20">
        <f>F49/COUNT(Data!$A$2:$A$500)</f>
        <v>0.2</v>
      </c>
      <c r="H49" s="3"/>
      <c r="I49" s="3"/>
      <c r="J49" s="3"/>
      <c r="K49" s="3"/>
      <c r="L49" s="3"/>
      <c r="M49" s="3"/>
      <c r="N49" s="3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">
      <c r="A50" s="167" t="s">
        <v>57</v>
      </c>
      <c r="B50" s="134"/>
      <c r="C50" s="134"/>
      <c r="D50" s="134"/>
      <c r="E50" s="135"/>
      <c r="F50" s="19">
        <f>COUNTIF(Data!L$2:L$500,"2–5 разів")</f>
        <v>7</v>
      </c>
      <c r="G50" s="20">
        <f>F50/COUNT(Data!$A$2:$A$500)</f>
        <v>0.23333333333333334</v>
      </c>
      <c r="H50" s="3"/>
      <c r="I50" s="3"/>
      <c r="J50" s="3"/>
      <c r="K50" s="3"/>
      <c r="L50" s="3"/>
      <c r="M50" s="3"/>
      <c r="N50" s="3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">
      <c r="A51" s="167" t="s">
        <v>58</v>
      </c>
      <c r="B51" s="134"/>
      <c r="C51" s="134"/>
      <c r="D51" s="134"/>
      <c r="E51" s="135"/>
      <c r="F51" s="19">
        <f>COUNTIF(Data!L$2:L$500,"6 разів і більше")</f>
        <v>5</v>
      </c>
      <c r="G51" s="20">
        <f>F51/COUNT(Data!$A$2:$A$500)</f>
        <v>0.16666666666666666</v>
      </c>
      <c r="H51" s="3"/>
      <c r="I51" s="3"/>
      <c r="J51" s="3"/>
      <c r="K51" s="3"/>
      <c r="L51" s="3"/>
      <c r="M51" s="3"/>
      <c r="N51" s="3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">
      <c r="A52" s="3"/>
      <c r="B52" s="3"/>
      <c r="C52" s="3"/>
      <c r="D52" s="3"/>
      <c r="E52" s="1"/>
      <c r="F52" s="1"/>
      <c r="G52" s="25"/>
      <c r="H52" s="3"/>
      <c r="I52" s="3"/>
      <c r="J52" s="3"/>
      <c r="K52" s="3"/>
      <c r="L52" s="3"/>
      <c r="M52" s="3"/>
      <c r="N52" s="3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">
      <c r="A53" s="158" t="s">
        <v>66</v>
      </c>
      <c r="B53" s="134"/>
      <c r="C53" s="134"/>
      <c r="D53" s="134"/>
      <c r="E53" s="135"/>
      <c r="F53" s="36" t="s">
        <v>4</v>
      </c>
      <c r="G53" s="37" t="s">
        <v>5</v>
      </c>
      <c r="H53" s="3"/>
      <c r="I53" s="3"/>
      <c r="J53" s="3"/>
      <c r="K53" s="3"/>
      <c r="L53" s="3"/>
      <c r="M53" s="3"/>
      <c r="N53" s="3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">
      <c r="A54" s="174">
        <v>5</v>
      </c>
      <c r="B54" s="134"/>
      <c r="C54" s="134"/>
      <c r="D54" s="134"/>
      <c r="E54" s="135"/>
      <c r="F54" s="19">
        <f>COUNTIF(Data!M$2:M$500,5)</f>
        <v>19</v>
      </c>
      <c r="G54" s="20">
        <f>F54/COUNT(Data!$A$2:$A$500)</f>
        <v>0.6333333333333333</v>
      </c>
      <c r="H54" s="1"/>
      <c r="I54" s="3"/>
      <c r="J54" s="3"/>
      <c r="K54" s="3"/>
      <c r="L54" s="3"/>
      <c r="M54" s="3"/>
      <c r="N54" s="3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">
      <c r="A55" s="174">
        <v>4</v>
      </c>
      <c r="B55" s="134"/>
      <c r="C55" s="134"/>
      <c r="D55" s="134"/>
      <c r="E55" s="135"/>
      <c r="F55" s="19">
        <f>COUNTIF(Data!M$2:M$500,4)</f>
        <v>6</v>
      </c>
      <c r="G55" s="20">
        <f>F55/COUNT(Data!$A$2:$A$500)</f>
        <v>0.2</v>
      </c>
      <c r="H55" s="3"/>
      <c r="I55" s="3"/>
      <c r="J55" s="3"/>
      <c r="K55" s="3"/>
      <c r="L55" s="3"/>
      <c r="M55" s="3"/>
      <c r="N55" s="3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">
      <c r="A56" s="174">
        <v>3</v>
      </c>
      <c r="B56" s="134"/>
      <c r="C56" s="134"/>
      <c r="D56" s="134"/>
      <c r="E56" s="135"/>
      <c r="F56" s="19">
        <f>COUNTIF(Data!M$2:M$500,3)</f>
        <v>2</v>
      </c>
      <c r="G56" s="20">
        <f>F56/COUNT(Data!$A$2:$A$500)</f>
        <v>6.6666666666666666E-2</v>
      </c>
      <c r="H56" s="3"/>
      <c r="I56" s="3"/>
      <c r="J56" s="3"/>
      <c r="K56" s="3"/>
      <c r="L56" s="3"/>
      <c r="M56" s="3"/>
      <c r="N56" s="3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">
      <c r="A57" s="174">
        <v>2</v>
      </c>
      <c r="B57" s="134"/>
      <c r="C57" s="134"/>
      <c r="D57" s="134"/>
      <c r="E57" s="135"/>
      <c r="F57" s="19">
        <f>COUNTIF(Data!M$2:M$500,2)</f>
        <v>0</v>
      </c>
      <c r="G57" s="20">
        <f>F57/COUNT(Data!$A$2:$A$500)</f>
        <v>0</v>
      </c>
      <c r="H57" s="3"/>
      <c r="I57" s="3"/>
      <c r="J57" s="3"/>
      <c r="K57" s="3"/>
      <c r="L57" s="3"/>
      <c r="M57" s="3"/>
      <c r="N57" s="3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">
      <c r="A58" s="174">
        <v>1</v>
      </c>
      <c r="B58" s="134"/>
      <c r="C58" s="134"/>
      <c r="D58" s="134"/>
      <c r="E58" s="135"/>
      <c r="F58" s="19">
        <f>COUNTIF(Data!M$2:M$500,1)</f>
        <v>0</v>
      </c>
      <c r="G58" s="20">
        <f>F58/COUNT(Data!$A$2:$A$500)</f>
        <v>0</v>
      </c>
      <c r="H58" s="3"/>
      <c r="I58" s="3"/>
      <c r="J58" s="3"/>
      <c r="K58" s="3"/>
      <c r="L58" s="3"/>
      <c r="M58" s="3"/>
      <c r="N58" s="3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">
      <c r="A59" s="174">
        <v>9</v>
      </c>
      <c r="B59" s="134"/>
      <c r="C59" s="134"/>
      <c r="D59" s="134"/>
      <c r="E59" s="135"/>
      <c r="F59" s="19">
        <f>COUNTIF(Data!M$2:M$500,9)</f>
        <v>3</v>
      </c>
      <c r="G59" s="20">
        <f>F59/COUNT(Data!$A$2:$A$500)</f>
        <v>0.1</v>
      </c>
      <c r="H59" s="3"/>
      <c r="I59" s="3"/>
      <c r="J59" s="3"/>
      <c r="K59" s="3"/>
      <c r="L59" s="3"/>
      <c r="M59" s="3"/>
      <c r="N59" s="3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8.75">
      <c r="A60" s="169" t="s">
        <v>69</v>
      </c>
      <c r="B60" s="134"/>
      <c r="C60" s="134"/>
      <c r="D60" s="134"/>
      <c r="E60" s="135"/>
      <c r="F60" s="57">
        <f>((F54*5)+(F55*4)+(F56*3)+(F57*2)+(F58*1))/SUM(F54:F58)</f>
        <v>4.6296296296296298</v>
      </c>
      <c r="G60" s="37"/>
      <c r="H60" s="3"/>
      <c r="I60" s="3"/>
      <c r="J60" s="3"/>
      <c r="K60" s="3"/>
      <c r="L60" s="3"/>
      <c r="M60" s="3"/>
      <c r="N60" s="3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">
      <c r="A61" s="168" t="s">
        <v>71</v>
      </c>
      <c r="B61" s="134"/>
      <c r="C61" s="134"/>
      <c r="D61" s="134"/>
      <c r="E61" s="135"/>
      <c r="F61" s="58" t="e">
        <f>((COUNTIFS(Data!B$2:B$500,"18–25 років",Data!M$2:M$500,5)*5)+(COUNTIFS(Data!B$2:B$500,"18–25 років",Data!M$2:M$500,4)*4)+(COUNTIFS(Data!B$2:B$500,"18–25 років",Data!M$2:M$500,3)*3)+(COUNTIFS(Data!B$2:B$500,"18–25 років",Data!M$2:M$500,2)*2)+(COUNTIFS(Data!B$2:B$500,"18–25 років",Data!M$2:M$500,1)*1))/(COUNTIFS(Data!B$2:B$500,"18–25 років",Data!M$2:M$500,5)+(COUNTIFS(Data!B$2:B$500,"18–25 років",Data!M$2:M$500,4)+(COUNTIFS(Data!B$2:B$500,"18–25 років",Data!M$2:M$500,3)+(COUNTIFS(Data!B$2:B$500,"18–25 років",Data!M$2:M$500,2)+(COUNTIFS(Data!B$2:B$500,"18–25 років",Data!M$2:M$500,1))))))</f>
        <v>#DIV/0!</v>
      </c>
      <c r="G61" s="28"/>
      <c r="H61" s="3"/>
      <c r="I61" s="3"/>
      <c r="J61" s="3"/>
      <c r="K61" s="3"/>
      <c r="L61" s="3"/>
      <c r="M61" s="3"/>
      <c r="N61" s="3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">
      <c r="A62" s="168" t="s">
        <v>73</v>
      </c>
      <c r="B62" s="134"/>
      <c r="C62" s="134"/>
      <c r="D62" s="134"/>
      <c r="E62" s="135"/>
      <c r="F62" s="58">
        <f>((COUNTIFS(Data!B$2:B$500,"26–39 років",Data!M$2:M$500,5)*5)+(COUNTIFS(Data!B$2:B$500,"26–39 років",Data!M$2:M$500,4)*4)+(COUNTIFS(Data!B$2:B$500,"26–39 років",Data!M$2:M$500,3)*3)+(COUNTIFS(Data!B$2:B$500,"26–39 років",Data!M$2:M$500,2)*2)+(COUNTIFS(Data!B$2:B$500,"26–39 років",Data!M$2:M$500,1)*1))/(COUNTIFS(Data!B$2:B$500,"26–39 років",Data!M$2:M$500,5)+(COUNTIFS(Data!B$2:B$500,"26–39 років",Data!M$2:M$500,4)+(COUNTIFS(Data!B$2:B$500,"26–39 років",Data!M$2:M$500,3)+(COUNTIFS(Data!B$2:B$500,"26–39 років",Data!M$2:M$500,2)+(COUNTIFS(Data!B$2:B$500,"26–39 років",Data!M$2:M$500,1))))))</f>
        <v>4.7272727272727275</v>
      </c>
      <c r="G62" s="28"/>
      <c r="H62" s="3"/>
      <c r="I62" s="3"/>
      <c r="J62" s="3"/>
      <c r="K62" s="3"/>
      <c r="L62" s="3"/>
      <c r="M62" s="3"/>
      <c r="N62" s="3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">
      <c r="A63" s="168" t="s">
        <v>75</v>
      </c>
      <c r="B63" s="134"/>
      <c r="C63" s="134"/>
      <c r="D63" s="134"/>
      <c r="E63" s="135"/>
      <c r="F63" s="58">
        <f>((COUNTIFS(Data!B$2:B$500,"40–59 років",Data!M$2:M$500,5)*5)+(COUNTIFS(Data!B$2:B$500,"40–59 років",Data!M$2:M$500,4)*4)+(COUNTIFS(Data!B$2:B$500,"40–59 років",Data!M$2:M$500,3)*3)+(COUNTIFS(Data!B$2:B$500,"40–59 років",Data!M$2:M$500,2)*2)+(COUNTIFS(Data!B$2:B$500,"40–59 років",Data!M$2:M$500,1)*1))/(COUNTIFS(Data!B$2:B$500,"40–59 років",Data!M$2:M$500,5)+(COUNTIFS(Data!B$2:B$500,"40–59 років",Data!M$2:M$500,4)+(COUNTIFS(Data!B$2:B$500,"40–59 років",Data!M$2:M$500,3)+(COUNTIFS(Data!B$2:B$500,"40–59 років",Data!M$2:M$500,2)+(COUNTIFS(Data!B$2:B$500,"40–59 років",Data!M$2:M$500,1))))))</f>
        <v>4.583333333333333</v>
      </c>
      <c r="G63" s="28"/>
      <c r="H63" s="3"/>
      <c r="I63" s="3"/>
      <c r="J63" s="3"/>
      <c r="K63" s="3"/>
      <c r="L63" s="3"/>
      <c r="M63" s="3"/>
      <c r="N63" s="3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">
      <c r="A64" s="168" t="s">
        <v>77</v>
      </c>
      <c r="B64" s="134"/>
      <c r="C64" s="134"/>
      <c r="D64" s="134"/>
      <c r="E64" s="135"/>
      <c r="F64" s="58">
        <f>((COUNTIFS(Data!B$2:B$500,"60 років і старше",Data!M$2:M$500,5)*5)+(COUNTIFS(Data!B$2:B$500,"60 років і старше",Data!M$2:M$500,4)*4)+(COUNTIFS(Data!B$2:B$500,"60 років і старше",Data!M$2:M$500,3)*3)+(COUNTIFS(Data!B$2:B$500,"60 років і старше",Data!M$2:M$500,2)*2)+(COUNTIFS(Data!B$2:B$500,"60 років і старше",Data!M$2:M$500,1)*1))/(COUNTIFS(Data!B$2:B$500,"60 років і старше",Data!M$2:M$500,5)+(COUNTIFS(Data!B$2:B$500,"60 років і старше",Data!M$2:M$500,4)+(COUNTIFS(Data!B$2:B$500,"60 років і старше",Data!M$2:M$500,3)+(COUNTIFS(Data!B$2:B$500,"60 років і старше",Data!M$2:M$500,2)+(COUNTIFS(Data!B$2:B$500,"60 років і старше",Data!M$2:M$500,1))))))</f>
        <v>4.5</v>
      </c>
      <c r="G64" s="28"/>
      <c r="H64" s="3"/>
      <c r="I64" s="3"/>
      <c r="J64" s="3"/>
      <c r="K64" s="3"/>
      <c r="L64" s="3"/>
      <c r="M64" s="3"/>
      <c r="N64" s="3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">
      <c r="A65" s="165" t="s">
        <v>79</v>
      </c>
      <c r="B65" s="134"/>
      <c r="C65" s="134"/>
      <c r="D65" s="134"/>
      <c r="E65" s="135"/>
      <c r="F65" s="59">
        <f>((COUNTIFS(Data!C$2:C$500,"жіноча",Data!M$2:M$500,5)*5)+(COUNTIFS(Data!C$2:C$500,"жіноча",Data!M$2:M$500,4)*4)+(COUNTIFS(Data!C$2:C$500,"жіноча",Data!M$2:M$500,3)*3)+(COUNTIFS(Data!C$2:C$500,"жіноча",Data!M$2:M$500,2)*2)+(COUNTIFS(Data!C$2:C$500,"жіноча",Data!M$2:M$500,1)*1))/(COUNTIFS(Data!C$2:C$500,"жіноча",Data!M$2:M$500,5)+(COUNTIFS(Data!C$2:C$500,"жіноча",Data!M$2:M$500,4)+(COUNTIFS(Data!C$2:C$500,"жіноча",Data!M$2:M$500,3)+(COUNTIFS(Data!C$2:C$500,"жіноча",Data!M$2:M$500,2)+(COUNTIFS(Data!C$2:C$500,"жіноча",Data!M$2:M$500,1))))))</f>
        <v>4.4615384615384617</v>
      </c>
      <c r="G65" s="28"/>
      <c r="H65" s="3"/>
      <c r="I65" s="3"/>
      <c r="J65" s="3"/>
      <c r="K65" s="3"/>
      <c r="L65" s="3"/>
      <c r="M65" s="3"/>
      <c r="N65" s="3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">
      <c r="A66" s="165" t="s">
        <v>81</v>
      </c>
      <c r="B66" s="134"/>
      <c r="C66" s="134"/>
      <c r="D66" s="134"/>
      <c r="E66" s="135"/>
      <c r="F66" s="59">
        <f>((COUNTIFS(Data!C$2:C$500,"чоловіча",Data!M$2:M$500,5)*5)+(COUNTIFS(Data!C$2:C$500,"чоловіча",Data!M$2:M$500,4)*4)+(COUNTIFS(Data!C$2:C$500,"чоловіча",Data!M$2:M$500,3)*3)+(COUNTIFS(Data!C$2:C$500,"чоловіча",Data!M$2:M$500,2)*2)+(COUNTIFS(Data!C$2:C$500,"чоловіча",Data!M$2:M$500,1)*1))/(COUNTIFS(Data!C$2:C$500,"чоловіча",Data!M$2:M$500,5)+(COUNTIFS(Data!C$2:C$500,"чоловіча",Data!M$2:M$500,4)+(COUNTIFS(Data!C$2:C$500,"чоловіча",Data!M$2:M$500,3)+(COUNTIFS(Data!C$2:C$500,"чоловіча",Data!M$2:M$500,2)+(COUNTIFS(Data!C$2:C$500,"чоловіча",Data!M$2:M$500,1))))))</f>
        <v>4.7857142857142856</v>
      </c>
      <c r="G66" s="28"/>
      <c r="H66" s="3"/>
      <c r="I66" s="3"/>
      <c r="J66" s="3"/>
      <c r="K66" s="3"/>
      <c r="L66" s="3"/>
      <c r="M66" s="3"/>
      <c r="N66" s="3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">
      <c r="A67" s="166" t="s">
        <v>83</v>
      </c>
      <c r="B67" s="134"/>
      <c r="C67" s="134"/>
      <c r="D67" s="134"/>
      <c r="E67" s="135"/>
      <c r="F67" s="60">
        <f>((COUNTIFS(Data!D$2:D$500,"Середня та неповна середня",Data!M$2:M$500,5)*5)+(COUNTIFS(Data!D$2:D$500,"Середня та неповна середня",Data!M$2:M$500,4)*4)+(COUNTIFS(Data!D$2:D$500,"Середня та неповна середня",Data!M$2:M$500,3)*3)+(COUNTIFS(Data!D$2:D$500,"Середня та неповна середня",Data!M$2:M$500,2)*2)+(COUNTIFS(Data!D$2:D$500,"Середня та неповна середня",Data!M$2:M$500,1)*1))/(COUNTIFS(Data!D$2:D$500,"Середня та неповна середня",Data!M$2:M$500,5)+(COUNTIFS(Data!D$2:D$500,"Середня та неповна середня",Data!M$2:M$500,4)+(COUNTIFS(Data!D$2:D$500,"Середня та неповна середня",Data!M$2:M$500,3)+(COUNTIFS(Data!D$2:D$500,"Середня та неповна середня",Data!M$2:M$500,2)+(COUNTIFS(Data!D$2:D$500,"Середня та неповна середня",Data!M$2:M$500,1))))))</f>
        <v>4.375</v>
      </c>
      <c r="G67" s="28"/>
      <c r="H67" s="3"/>
      <c r="I67" s="3"/>
      <c r="J67" s="3"/>
      <c r="K67" s="3"/>
      <c r="L67" s="3"/>
      <c r="M67" s="3"/>
      <c r="N67" s="3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">
      <c r="A68" s="166" t="s">
        <v>85</v>
      </c>
      <c r="B68" s="134"/>
      <c r="C68" s="134"/>
      <c r="D68" s="134"/>
      <c r="E68" s="135"/>
      <c r="F68" s="60">
        <f>((COUNTIFS(Data!D$2:D$500,"Вища та неповна вища",Data!M$2:M$500,5)*5)+(COUNTIFS(Data!D$2:D$500,"Вища та неповна вища",Data!M$2:M$500,4)*4)+(COUNTIFS(Data!D$2:D$500,"Вища та неповна вища",Data!M$2:M$500,3)*3)+(COUNTIFS(Data!D$2:D$500,"Вища та неповна вища",Data!M$2:M$500,2)*2)+(COUNTIFS(Data!D$2:D$500,"Вища та неповна вища",Data!M$2:M$500,1)*1))/(COUNTIFS(Data!D$2:D$500,"Вища та неповна вища",Data!M$2:M$500,5)+(COUNTIFS(Data!D$2:D$500,"Вища та неповна вища",Data!M$2:M$500,4)+(COUNTIFS(Data!D$2:D$500,"Вища та неповна вища",Data!M$2:M$500,3)+(COUNTIFS(Data!D$2:D$500,"Вища та неповна вища",Data!M$2:M$500,2)+(COUNTIFS(Data!D$2:D$500,"Вища та неповна вища",Data!M$2:M$500,1))))))</f>
        <v>4.7368421052631575</v>
      </c>
      <c r="G68" s="28"/>
      <c r="H68" s="3"/>
      <c r="I68" s="3"/>
      <c r="J68" s="3"/>
      <c r="K68" s="3"/>
      <c r="L68" s="3"/>
      <c r="M68" s="3"/>
      <c r="N68" s="3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">
      <c r="A69" s="166" t="s">
        <v>87</v>
      </c>
      <c r="B69" s="134"/>
      <c r="C69" s="134"/>
      <c r="D69" s="134"/>
      <c r="E69" s="135"/>
      <c r="F69" s="60" t="e">
        <f>((COUNTIFS(Data!D$2:D$500,"Інше (вкажіть)",Data!M$2:M$500,5)*5)+(COUNTIFS(Data!D$2:D$500,"Інше (вкажіть)",Data!M$2:M$500,4)*4)+(COUNTIFS(Data!D$2:D$500,"Інше (вкажіть)",Data!M$2:M$500,3)*3)+(COUNTIFS(Data!D$2:D$500,"Інше (вкажіть)",Data!M$2:M$500,2)*2)+(COUNTIFS(Data!D$2:D$500,"Інше (вкажіть)",Data!M$2:M$500,1)*1))/(COUNTIFS(Data!D$2:D$500,"Інше (вкажіть)",Data!M$2:M$500,5)+(COUNTIFS(Data!D$2:D$500,"Інше (вкажіть)",Data!M$2:M$500,4)+(COUNTIFS(Data!D$2:D$500,"Інше (вкажіть)",Data!M$2:M$500,3)+(COUNTIFS(Data!D$2:D$500,"Інше (вкажіть)",Data!M$2:M$500,2)+(COUNTIFS(Data!D$2:D$500,"Інше (вкажіть)",Data!M$2:M$500,1))))))</f>
        <v>#DIV/0!</v>
      </c>
      <c r="G69" s="28"/>
      <c r="H69" s="3"/>
      <c r="I69" s="3"/>
      <c r="J69" s="3"/>
      <c r="K69" s="3"/>
      <c r="L69" s="3"/>
      <c r="M69" s="3"/>
      <c r="N69" s="3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">
      <c r="A70" s="164" t="s">
        <v>89</v>
      </c>
      <c r="B70" s="134"/>
      <c r="C70" s="134"/>
      <c r="D70" s="134"/>
      <c r="E70" s="135"/>
      <c r="F70" s="61">
        <f>((COUNTIFS(Data!E$2:E$500,"Так",Data!M$2:M$500,5)*5)+(COUNTIFS(Data!E$2:E$500,"Так",Data!M$2:M$500,4)*4)+(COUNTIFS(Data!E$2:E$500,"Так",Data!M$2:M$500,3)*3)+(COUNTIFS(Data!E$2:E$500,"Так",Data!M$2:M$500,2)*2)+(COUNTIFS(Data!E$2:E$500,"Так",Data!M$2:M$500,1)*1))/(COUNTIFS(Data!E$2:E$500,"Так",Data!M$2:M$500,5)+(COUNTIFS(Data!E$2:E$500,"Так",Data!M$2:M$500,4)+(COUNTIFS(Data!E$2:E$500,"Так",Data!M$2:M$500,3)+(COUNTIFS(Data!E$2:E$500,"Так",Data!M$2:M$500,2)+(COUNTIFS(Data!E$2:E$500,"Так",Data!M$2:M$500,1))))))</f>
        <v>4.8888888888888893</v>
      </c>
      <c r="G70" s="28"/>
      <c r="H70" s="3"/>
      <c r="I70" s="3"/>
      <c r="J70" s="3"/>
      <c r="K70" s="3"/>
      <c r="L70" s="3"/>
      <c r="M70" s="3"/>
      <c r="N70" s="3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">
      <c r="A71" s="164" t="s">
        <v>91</v>
      </c>
      <c r="B71" s="134"/>
      <c r="C71" s="134"/>
      <c r="D71" s="134"/>
      <c r="E71" s="135"/>
      <c r="F71" s="61">
        <f>((COUNTIFS(Data!E$2:E$500,"Ні",Data!M$2:M$500,5)*5)+(COUNTIFS(Data!E$2:E$500,"Ні",Data!M$2:M$500,4)*4)+(COUNTIFS(Data!E$2:E$500,"Ні",Data!M$2:M$500,3)*3)+(COUNTIFS(Data!E$2:E$500,"Ні",Data!M$2:M$500,2)*2)+(COUNTIFS(Data!E$2:E$500,"Ні",Data!M$2:M$500,1)*1))/(COUNTIFS(Data!E$2:E$500,"Ні",Data!M$2:M$500,5)+(COUNTIFS(Data!E$2:E$500,"Ні",Data!M$2:M$500,4)+(COUNTIFS(Data!E$2:E$500,"Ні",Data!M$2:M$500,3)+(COUNTIFS(Data!E$2:E$500,"Ні",Data!M$2:M$500,2)+(COUNTIFS(Data!E$2:E$500,"Ні",Data!M$2:M$500,1))))))</f>
        <v>4.5</v>
      </c>
      <c r="G71" s="28"/>
      <c r="H71" s="3"/>
      <c r="I71" s="3"/>
      <c r="J71" s="3"/>
      <c r="K71" s="3"/>
      <c r="L71" s="3"/>
      <c r="M71" s="3"/>
      <c r="N71" s="3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">
      <c r="A72" s="175" t="s">
        <v>92</v>
      </c>
      <c r="B72" s="134"/>
      <c r="C72" s="134"/>
      <c r="D72" s="134"/>
      <c r="E72" s="135"/>
      <c r="F72" s="62">
        <f>((COUNTIFS(Data!F$2:F$500,"В населеному пункті, де розташований цей суд",Data!M$2:M$500,5)*5)+(COUNTIFS(Data!F$2:F$500,"В населеному пункті, де розташований цей суд",Data!M$2:M$500,4)*4)+(COUNTIFS(Data!F$2:F$500,"В населеному пункті, де розташований цей суд",Data!M$2:M$500,3)*3)+(COUNTIFS(Data!F$2:F$500,"В населеному пункті, де розташований цей суд",Data!M$2:M$500,2)*2)+(COUNTIFS(Data!F$2:F$500,"В населеному пункті, де розташований цей суд",Data!M$2:M$500,1)*1))/(COUNTIFS(Data!F$2:F$500,"В населеному пункті, де розташований цей суд",Data!M$2:M$500,5)+(COUNTIFS(Data!F$2:F$500,"В населеному пункті, де розташований цей суд",Data!M$2:M$500,4)+(COUNTIFS(Data!F$2:F$500,"В населеному пункті, де розташований цей суд",Data!M$2:M$500,3)+(COUNTIFS(Data!F$2:F$500,"В населеному пункті, де розташований цей суд",Data!M$2:M$500,2)+(COUNTIFS(Data!F$2:F$500,"В населеному пункті, де розташований цей суд",Data!M$2:M$500,1))))))</f>
        <v>4.6470588235294121</v>
      </c>
      <c r="G72" s="28"/>
      <c r="H72" s="3"/>
      <c r="I72" s="3"/>
      <c r="J72" s="3"/>
      <c r="K72" s="3"/>
      <c r="L72" s="3"/>
      <c r="M72" s="3"/>
      <c r="N72" s="3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">
      <c r="A73" s="175" t="s">
        <v>94</v>
      </c>
      <c r="B73" s="134"/>
      <c r="C73" s="134"/>
      <c r="D73" s="134"/>
      <c r="E73" s="135"/>
      <c r="F73" s="62">
        <f>((COUNTIFS(Data!F$2:F$500,"В іншому населеному пункті",Data!M$2:M$500,5)*5)+(COUNTIFS(Data!F$2:F$500,"В іншому населеному пункті",Data!M$2:M$500,4)*4)+(COUNTIFS(Data!F$2:F$500,"В іншому населеному пункті",Data!M$2:M$500,3)*3)+(COUNTIFS(Data!F$2:F$500,"В іншому населеному пункті",Data!M$2:M$500,2)*2)+(COUNTIFS(Data!F$2:F$500,"В іншому населеному пункті",Data!M$2:M$500,1)*1))/(COUNTIFS(Data!F$2:F$500,"В іншому населеному пункті",Data!M$2:M$500,5)+(COUNTIFS(Data!F$2:F$500,"В іншому населеному пункті",Data!M$2:M$500,4)+(COUNTIFS(Data!F$2:F$500,"В іншому населеному пункті",Data!M$2:M$500,3)+(COUNTIFS(Data!F$2:F$500,"В іншому населеному пункті",Data!M$2:M$500,2)+(COUNTIFS(Data!F$2:F$500,"В іншому населеному пункті",Data!M$2:M$500,1))))))</f>
        <v>4.5999999999999996</v>
      </c>
      <c r="G73" s="28"/>
      <c r="H73" s="3"/>
      <c r="I73" s="3"/>
      <c r="J73" s="3"/>
      <c r="K73" s="3"/>
      <c r="L73" s="3"/>
      <c r="M73" s="3"/>
      <c r="N73" s="3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">
      <c r="A74" s="173" t="s">
        <v>96</v>
      </c>
      <c r="B74" s="134"/>
      <c r="C74" s="134"/>
      <c r="D74" s="134"/>
      <c r="E74" s="135"/>
      <c r="F74" s="63">
        <f>((COUNTIFS(Data!G$2:G$500,"Змушені економити на харчуванні",Data!M$2:M$500,5)*5)+(COUNTIFS(Data!G$2:G$500,"Змушені економити на харчуванні",Data!M$2:M$500,4)*4)+(COUNTIFS(Data!G$2:G$500,"Змушені економити на харчуванні",Data!M$2:M$500,3)*3)+(COUNTIFS(Data!G$2:G$500,"Змушені економити на харчуванні",Data!M$2:M$500,2)*2)+(COUNTIFS(Data!G$2:G$500,"Змушені економити на харчуванні",Data!M$2:M$500,1)*1))/(COUNTIFS(Data!G$2:G$500,"Змушені економити на харчуванні",Data!M$2:M$500,5)+(COUNTIFS(Data!G$2:G$500,"Змушені економити на харчуванні",Data!M$2:M$500,4)+(COUNTIFS(Data!G$2:G$500,"Змушені економити на харчуванні",Data!M$2:M$500,3)+(COUNTIFS(Data!G$2:G$500,"Змушені економити на харчуванні",Data!M$2:M$500,2)+(COUNTIFS(Data!G$2:G$500,"Змушені економити на харчуванні",Data!M$2:M$500,1))))))</f>
        <v>4.2</v>
      </c>
      <c r="G74" s="28"/>
      <c r="H74" s="3"/>
      <c r="I74" s="3"/>
      <c r="J74" s="3"/>
      <c r="K74" s="3"/>
      <c r="L74" s="3"/>
      <c r="M74" s="3"/>
      <c r="N74" s="3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">
      <c r="A75" s="173" t="s">
        <v>98</v>
      </c>
      <c r="B75" s="134"/>
      <c r="C75" s="134"/>
      <c r="D75" s="134"/>
      <c r="E75" s="135"/>
      <c r="F75" s="63">
        <f>((COUNTIFS(Data!G$2:G$500,"Вистачає на харчування та необхідний одяг, взуття. Для таких покупок як гарний  костюм, мобільний телефон, пилосос необхідно заощадити або позичити",Data!M$2:M$500,5)*5)+(COUNTIFS(Data!G$2:G$500,"Вистачає на харчування та необхідний одяг, взуття. Для таких покупок як гарний  костюм, мобільний телефон, пилосос необхідно заощадити або позичити",Data!M$2:M$500,4)*4)+(COUNTIFS(Data!G$2:G$500,"Вистачає на харчування та необхідний одяг, взуття. Для таких покупок як гарний  костюм, мобільний телефон, пилосос необхідно заощадити або позичити",Data!M$2:M$500,3)*3)+(COUNTIFS(Data!G$2:G$500,"Вистачає на харчування та необхідний одяг, взуття. Для таких покупок як гарний  костюм, мобільний телефон, пилосос необхідно заощадити або позичити",Data!M$2:M$500,2)*2)+(COUNTIFS(Data!G$2:G$500,"Вистачає на харчування та необхідний одяг, взуття. Для таких покупок як гарний  костюм, мобільний телефон, пилосос необхідно заощадити або позичити",Data!M$2:M$500,1)*1))/(COUNTIFS(Data!G$2:G$500,"Вистачає на харчування та необхідний одяг, взуття. Для таких покупок як гарний  костюм, мобільний телефон, пилосос необхідно заощадити або позичити",Data!M$2:M$500,5)+(COUNTIFS(Data!G$2:G$500,"Вистачає на харчування та необхідний одяг, взуття. Для таких покупок як гарний  костюм, мобільний телефон, пилосос необхідно заощадити або позичити",Data!M$2:M$500,4)+(COUNTIFS(Data!G$2:G$500,"Вистачає на харчування та необхідний одяг, взуття. Для таких покупок як гарний  костюм, мобільний телефон, пилосос необхідно заощадити або позичити",Data!M$2:M$500,3)+(COUNTIFS(Data!G$2:G$500,"Вистачає на харчування та необхідний одяг, взуття. Для таких покупок як гарний  костюм, мобільний телефон, пилосос необхідно заощадити або позичити",Data!M$2:M$500,2)+(COUNTIFS(Data!G$2:G$500,"Вистачає на харчування та необхідний одяг, взуття. Для таких покупок як гарний  костюм, мобільний телефон, пилосос необхідно заощадити або позичити",Data!M$2:M$500,1))))))</f>
        <v>4.5999999999999996</v>
      </c>
      <c r="G75" s="28"/>
      <c r="H75" s="3"/>
      <c r="I75" s="3"/>
      <c r="J75" s="3"/>
      <c r="K75" s="3"/>
      <c r="L75" s="3"/>
      <c r="M75" s="3"/>
      <c r="N75" s="3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">
      <c r="A76" s="173" t="s">
        <v>101</v>
      </c>
      <c r="B76" s="134"/>
      <c r="C76" s="134"/>
      <c r="D76" s="134"/>
      <c r="E76" s="135"/>
      <c r="F76" s="63">
        <f>((COUNTIFS(Data!G$2:G$500,"Вистачає на харчування, одяг, взуття, інші покупки. Але для придбання речей, які дорого коштують (таких як сучасний телевізор, холодильник, меблі) необхідно заощадити або позичити",Data!M$2:M$500,5)*5)+(COUNTIFS(Data!G$2:G$500,"Вистачає на харчування, одяг, взуття, інші покупки. Але для придбання речей, які дорого коштують (таких як сучасний телевізор, холодильник, меблі) необхідно заощадити або позичити",Data!M$2:M$500,4)*4)+(COUNTIFS(Data!G$2:G$500,"Вистачає на харчування, одяг, взуття, інші покупки. Але для придбання речей, які дорого коштують (таких як сучасний телевізор, холодильник, меблі) необхідно заощадити або позичити",Data!M$2:M$500,3)*3)+(COUNTIFS(Data!G$2:G$500,"Вистачає на харчування, одяг, взуття, інші покупки. Але для придбання речей, які дорого коштують (таких як сучасний телевізор, холодильник, меблі) необхідно заощадити або позичити",Data!M$2:M$500,2)*2)+(COUNTIFS(Data!G$2:G$500,"Вистачає на харчування, одяг, взуття, інші покупки. Але для придбання речей, які дорого коштують (таких як сучасний телевізор, холодильник, меблі) необхідно заощадити або позичити",Data!M$2:M$500,1)*1))/(COUNTIFS(Data!G$2:G$500,"Вистачає на харчування, одяг, взуття, інші покупки. Але для придбання речей, які дорого коштують (таких як сучасний телевізор, холодильник, меблі) необхідно заощадити або позичити",Data!M$2:M$500,5)+(COUNTIFS(Data!G$2:G$500,"Вистачає на харчування, одяг, взуття, інші покупки. Але для придбання речей, які дорого коштують (таких як сучасний телевізор, холодильник, меблі) необхідно заощадити або позичити",Data!M$2:M$500,4)+(COUNTIFS(Data!G$2:G$500,"Вистачає на харчування, одяг, взуття, інші покупки. Але для придбання речей, які дорого коштують (таких як сучасний телевізор, холодильник, меблі) необхідно заощадити або позичити",Data!M$2:M$500,3)+(COUNTIFS(Data!G$2:G$500,"Вистачає на харчування, одяг, взуття, інші покупки. Але для придбання речей, які дорого коштують (таких як сучасний телевізор, холодильник, меблі) необхідно заощадити або позичити",Data!M$2:M$500,2)+(COUNTIFS(Data!G$2:G$500,"Вистачає на харчування, одяг, взуття, інші покупки. Але для придбання речей, які дорого коштують (таких як сучасний телевізор, холодильник, меблі) необхідно заощадити або позичити",Data!M$2:M$500,1))))))</f>
        <v>4.7</v>
      </c>
      <c r="G76" s="28"/>
      <c r="H76" s="3"/>
      <c r="I76" s="3"/>
      <c r="J76" s="3"/>
      <c r="K76" s="3"/>
      <c r="L76" s="3"/>
      <c r="M76" s="3"/>
      <c r="N76" s="3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">
      <c r="A77" s="173" t="s">
        <v>103</v>
      </c>
      <c r="B77" s="134"/>
      <c r="C77" s="134"/>
      <c r="D77" s="134"/>
      <c r="E77" s="135"/>
      <c r="F77" s="63">
        <f>((COUNTIFS(Data!G$2:G$500,"Вистачає на харчування, одяг, взуття, дорогі покупки. Для таких покупок як машина, квартира необхідно заощадити або позичити",Data!M$2:M$500,5)*5)+(COUNTIFS(Data!G$2:G$500,"Вистачає на харчування, одяг, взуття, дорогі покупки. Для таких покупок як машина, квартира необхідно заощадити або позичити",Data!M$2:M$500,4)*4)+(COUNTIFS(Data!G$2:G$500,"Вистачає на харчування, одяг, взуття, дорогі покупки. Для таких покупок як машина, квартира необхідно заощадити або позичити",Data!M$2:M$500,3)*3)+(COUNTIFS(Data!G$2:G$500,"Вистачає на харчування, одяг, взуття, дорогі покупки. Для таких покупок як машина, квартира необхідно заощадити або позичити",Data!M$2:M$500,2)*2)+(COUNTIFS(Data!G$2:G$500,"Вистачає на харчування, одяг, взуття, дорогі покупки. Для таких покупок як машина, квартира необхідно заощадити або позичити",Data!M$2:M$500,1)*1))/(COUNTIFS(Data!G$2:G$500,"Вистачає на харчування, одяг, взуття, дорогі покупки. Для таких покупок як машина, квартира необхідно заощадити або позичити",Data!M$2:M$500,5)+(COUNTIFS(Data!G$2:G$500,"Вистачає на харчування, одяг, взуття, дорогі покупки. Для таких покупок як машина, квартира необхідно заощадити або позичити",Data!M$2:M$500,4)+(COUNTIFS(Data!G$2:G$500,"Вистачає на харчування, одяг, взуття, дорогі покупки. Для таких покупок як машина, квартира необхідно заощадити або позичити",Data!M$2:M$500,3)+(COUNTIFS(Data!G$2:G$500,"Вистачає на харчування, одяг, взуття, дорогі покупки. Для таких покупок як машина, квартира необхідно заощадити або позичити",Data!M$2:M$500,2)+(COUNTIFS(Data!G$2:G$500,"Вистачає на харчування, одяг, взуття, дорогі покупки. Для таких покупок як машина, квартира необхідно заощадити або позичити",Data!M$2:M$500,1))))))</f>
        <v>5</v>
      </c>
      <c r="G77" s="28"/>
      <c r="H77" s="3"/>
      <c r="I77" s="3"/>
      <c r="J77" s="3"/>
      <c r="K77" s="3"/>
      <c r="L77" s="3"/>
      <c r="M77" s="3"/>
      <c r="N77" s="3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">
      <c r="A78" s="173" t="s">
        <v>105</v>
      </c>
      <c r="B78" s="134"/>
      <c r="C78" s="134"/>
      <c r="D78" s="134"/>
      <c r="E78" s="135"/>
      <c r="F78" s="63" t="e">
        <f>((COUNTIFS(Data!G$2:G$500,"Будь-які необхідні покупки можу зробити в будь-який час",Data!M$2:M$500,5)*5)+(COUNTIFS(Data!G$2:G$500,"Будь-які необхідні покупки можу зробити в будь-який час",Data!M$2:M$500,4)*4)+(COUNTIFS(Data!G$2:G$500,"Будь-які необхідні покупки можу зробити в будь-який час",Data!M$2:M$500,3)*3)+(COUNTIFS(Data!G$2:G$500,"Будь-які необхідні покупки можу зробити в будь-який час",Data!M$2:M$500,2)*2)+(COUNTIFS(Data!G$2:G$500,"Будь-які необхідні покупки можу зробити в будь-який час",Data!M$2:M$500,1)*1))/(COUNTIFS(Data!G$2:G$500,"Будь-які необхідні покупки можу зробити в будь-який час",Data!M$2:M$500,5)+(COUNTIFS(Data!G$2:G$500,"Будь-які необхідні покупки можу зробити в будь-який час",Data!M$2:M$500,4)+(COUNTIFS(Data!G$2:G$500,"Будь-які необхідні покупки можу зробити в будь-який час",Data!M$2:M$500,3)+(COUNTIFS(Data!G$2:G$500,"Будь-які необхідні покупки можу зробити в будь-який час",Data!M$2:M$500,2)+(COUNTIFS(Data!G$2:G$500,"Будь-які необхідні покупки можу зробити в будь-який час",Data!M$2:M$500,1))))))</f>
        <v>#DIV/0!</v>
      </c>
      <c r="G78" s="28"/>
      <c r="H78" s="3"/>
      <c r="I78" s="3"/>
      <c r="J78" s="3"/>
      <c r="K78" s="3"/>
      <c r="L78" s="3"/>
      <c r="M78" s="3"/>
      <c r="N78" s="3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">
      <c r="A79" s="173" t="s">
        <v>107</v>
      </c>
      <c r="B79" s="134"/>
      <c r="C79" s="134"/>
      <c r="D79" s="134"/>
      <c r="E79" s="135"/>
      <c r="F79" s="63">
        <f>((COUNTIFS(Data!G$2:G$500,"КН (код невідповіді)",Data!M$2:M$500,5)*5)+(COUNTIFS(Data!G$2:G$500,"КН (код невідповіді)",Data!M$2:M$500,4)*4)+(COUNTIFS(Data!G$2:G$500,"КН (код невідповіді)",Data!M$2:M$500,3)*3)+(COUNTIFS(Data!G$2:G$500,"КН (код невідповіді)",Data!M$2:M$500,2)*2)+(COUNTIFS(Data!G$2:G$500,"КН (код невідповіді)",Data!M$2:M$500,1)*1))/(COUNTIFS(Data!G$2:G$500,"КН (код невідповіді)",Data!M$2:M$500,5)+(COUNTIFS(Data!G$2:G$500,"КН (код невідповіді)",Data!M$2:M$500,4)+(COUNTIFS(Data!G$2:G$500,"КН (код невідповіді)",Data!M$2:M$500,3)+(COUNTIFS(Data!G$2:G$500,"КН (код невідповіді)",Data!M$2:M$500,2)+(COUNTIFS(Data!G$2:G$500,"КН (код невідповіді)",Data!M$2:M$500,1))))))</f>
        <v>4</v>
      </c>
      <c r="G79" s="28"/>
      <c r="H79" s="3"/>
      <c r="I79" s="3"/>
      <c r="J79" s="3"/>
      <c r="K79" s="3"/>
      <c r="L79" s="3"/>
      <c r="M79" s="3"/>
      <c r="N79" s="3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">
      <c r="A80" s="172" t="s">
        <v>109</v>
      </c>
      <c r="B80" s="134"/>
      <c r="C80" s="134"/>
      <c r="D80" s="134"/>
      <c r="E80" s="135"/>
      <c r="F80" s="64">
        <f>((COUNTIFS(Data!H$2:H$500,"Є учасником судових проваджень і представляєте особисто себе",Data!M$2:M$500,5)*5)+(COUNTIFS(Data!H$2:H$500,"Є учасником судових проваджень і представляєте особисто себе",Data!M$2:M$500,4)*4)+(COUNTIFS(Data!H$2:H$500,"Є учасником судових проваджень і представляєте особисто себе",Data!M$2:M$500,3)*3)+(COUNTIFS(Data!H$2:H$500,"Є учасником судових проваджень і представляєте особисто себе",Data!M$2:M$500,2)*2)+(COUNTIFS(Data!H$2:H$500,"Є учасником судових проваджень і представляєте особисто себе",Data!M$2:M$500,1)*1))/(COUNTIFS(Data!H$2:H$500,"Є учасником судових проваджень і представляєте особисто себе",Data!M$2:M$500,5)+(COUNTIFS(Data!H$2:H$500,"Є учасником судових проваджень і представляєте особисто себе",Data!M$2:M$500,4)+(COUNTIFS(Data!H$2:H$500,"Є учасником судових проваджень і представляєте особисто себе",Data!M$2:M$500,3)+(COUNTIFS(Data!H$2:H$500,"Є учасником судових проваджень і представляєте особисто себе",Data!M$2:M$500,2)+(COUNTIFS(Data!H$2:H$500,"Є учасником судових проваджень і представляєте особисто себе",Data!M$2:M$500,1))))))</f>
        <v>4.375</v>
      </c>
      <c r="G80" s="28"/>
      <c r="H80" s="3"/>
      <c r="I80" s="3"/>
      <c r="J80" s="3"/>
      <c r="K80" s="3"/>
      <c r="L80" s="3"/>
      <c r="M80" s="3"/>
      <c r="N80" s="3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">
      <c r="A81" s="172" t="s">
        <v>111</v>
      </c>
      <c r="B81" s="134"/>
      <c r="C81" s="134"/>
      <c r="D81" s="134"/>
      <c r="E81" s="135"/>
      <c r="F81" s="64">
        <f>((COUNTIFS(Data!H$2:H$500,"Є учасником судових проваджень, але представляєте іншу фізичну чи юридичну особу (є адвокатом, представником прокуратури, юрист-консультантом)",Data!M$2:M$500,5)*5)+(COUNTIFS(Data!H$2:H$500,"Є учасником судових проваджень, але представляєте іншу фізичну чи юридичну особу (є адвокатом, представником прокуратури, юрист-консультантом)",Data!M$2:M$500,4)*4)+(COUNTIFS(Data!H$2:H$500,"Є учасником судових проваджень, але представляєте іншу фізичну чи юридичну особу (є адвокатом, представником прокуратури, юрист-консультантом)",Data!M$2:M$500,3)*3)+(COUNTIFS(Data!H$2:H$500,"Є учасником судових проваджень, але представляєте іншу фізичну чи юридичну особу (є адвокатом, представником прокуратури, юрист-консультантом)",Data!M$2:M$500,2)*2)+(COUNTIFS(Data!H$2:H$500,"Є учасником судових проваджень, але представляєте іншу фізичну чи юридичну особу (є адвокатом, представником прокуратури, юрист-консультантом)",Data!M$2:M$500,1)*1))/(COUNTIFS(Data!H$2:H$500,"Є учасником судових проваджень, але представляєте іншу фізичну чи юридичну особу (є адвокатом, представником прокуратури, юрист-консультантом)",Data!M$2:M$500,5)+(COUNTIFS(Data!H$2:H$500,"Є учасником судових проваджень, але представляєте іншу фізичну чи юридичну особу (є адвокатом, представником прокуратури, юрист-консультантом)",Data!M$2:M$500,4)+(COUNTIFS(Data!H$2:H$500,"Є учасником судових проваджень, але представляєте іншу фізичну чи юридичну особу (є адвокатом, представником прокуратури, юрист-консультантом)",Data!M$2:M$500,3)+(COUNTIFS(Data!H$2:H$500,"Є учасником судових проваджень, але представляєте іншу фізичну чи юридичну особу (є адвокатом, представником прокуратури, юрист-консультантом)",Data!M$2:M$500,2)+(COUNTIFS(Data!H$2:H$500,"Є учасником судових проваджень, але представляєте іншу фізичну чи юридичну особу (є адвокатом, представником прокуратури, юрист-консультантом)",Data!M$2:M$500,1))))))</f>
        <v>5</v>
      </c>
      <c r="G81" s="28"/>
      <c r="H81" s="3"/>
      <c r="I81" s="3"/>
      <c r="J81" s="3"/>
      <c r="K81" s="3"/>
      <c r="L81" s="3"/>
      <c r="M81" s="3"/>
      <c r="N81" s="3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">
      <c r="A82" s="172" t="s">
        <v>113</v>
      </c>
      <c r="B82" s="134"/>
      <c r="C82" s="134"/>
      <c r="D82" s="134"/>
      <c r="E82" s="135"/>
      <c r="F82" s="64">
        <f>((COUNTIFS(Data!H$2:H$500,"Не є учасником судових проваджень",Data!M$2:M$500,5)*5)+(COUNTIFS(Data!H$2:H$500,"Не є учасником судових проваджень",Data!M$2:M$500,4)*4)+(COUNTIFS(Data!H$2:H$500,"Не є учасником судових проваджень",Data!M$2:M$500,3)*3)+(COUNTIFS(Data!H$2:H$500,"Не є учасником судових проваджень",Data!M$2:M$500,2)*2)+(COUNTIFS(Data!H$2:H$500,"Не є учасником судових проваджень",Data!M$2:M$500,1)*1))/(COUNTIFS(Data!H$2:H$500,"Не є учасником судових проваджень",Data!M$2:M$500,5)+(COUNTIFS(Data!H$2:H$500,"Не є учасником судових проваджень",Data!M$2:M$500,4)+(COUNTIFS(Data!H$2:H$500,"Не є учасником судових проваджень",Data!M$2:M$500,3)+(COUNTIFS(Data!H$2:H$500,"Не є учасником судових проваджень",Data!M$2:M$500,2)+(COUNTIFS(Data!H$2:H$500,"Не є учасником судових проваджень",Data!M$2:M$500,1))))))</f>
        <v>4.4444444444444446</v>
      </c>
      <c r="G82" s="28"/>
      <c r="H82" s="3"/>
      <c r="I82" s="3"/>
      <c r="J82" s="3"/>
      <c r="K82" s="3"/>
      <c r="L82" s="3"/>
      <c r="M82" s="3"/>
      <c r="N82" s="3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">
      <c r="A83" s="172" t="s">
        <v>104</v>
      </c>
      <c r="B83" s="134"/>
      <c r="C83" s="134"/>
      <c r="D83" s="134"/>
      <c r="E83" s="135"/>
      <c r="F83" s="64">
        <f>((COUNTIFS(Data!H$2:H$500,"Інше",Data!M$2:M$500,5)*5)+(COUNTIFS(Data!H$2:H$500,"Інше",Data!M$2:M$500,4)*4)+(COUNTIFS(Data!H$2:H$500,"Інше",Data!M$2:M$500,3)*3)+(COUNTIFS(Data!H$2:H$500,"Інше",Data!M$2:M$500,2)*2)+(COUNTIFS(Data!H$2:H$500,"Інше",Data!M$2:M$500,1)*1))/(COUNTIFS(Data!H$2:H$500,"Інше",Data!M$2:M$500,5)+(COUNTIFS(Data!H$2:H$500,"Інше",Data!M$2:M$500,4)+(COUNTIFS(Data!H$2:H$500,"Інше",Data!M$2:M$500,3)+(COUNTIFS(Data!H$2:H$500,"Інше",Data!M$2:M$500,2)+(COUNTIFS(Data!H$2:H$500,"Інше",Data!M$2:M$500,1))))))</f>
        <v>5</v>
      </c>
      <c r="G83" s="28"/>
      <c r="H83" s="3"/>
      <c r="I83" s="3"/>
      <c r="J83" s="3"/>
      <c r="K83" s="3"/>
      <c r="L83" s="3"/>
      <c r="M83" s="3"/>
      <c r="N83" s="3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">
      <c r="A84" s="165" t="s">
        <v>115</v>
      </c>
      <c r="B84" s="134"/>
      <c r="C84" s="134"/>
      <c r="D84" s="134"/>
      <c r="E84" s="135"/>
      <c r="F84" s="59">
        <f>((COUNTIFS(Data!I$2:I$500,"Цивільний процес",Data!M$2:M$500,5)*5)+(COUNTIFS(Data!I$2:I$500,"Цивільний процес",Data!M$2:M$500,4)*4)+(COUNTIFS(Data!I$2:I$500,"Цивільний процес",Data!M$2:M$500,3)*3)+(COUNTIFS(Data!I$2:I$500,"Цивільний процес",Data!M$2:M$500,2)*2)+(COUNTIFS(Data!I$2:I$500,"Цивільний процес",Data!M$2:M$500,1)*1))/(COUNTIFS(Data!I$2:I$500,"Цивільний процес",Data!M$2:M$500,5)+(COUNTIFS(Data!I$2:I$500,"Цивільний процес",Data!M$2:M$500,4)+(COUNTIFS(Data!I$2:I$500,"Цивільний процес",Data!M$2:M$500,3)+(COUNTIFS(Data!I$2:I$500,"Цивільний процес",Data!M$2:M$500,2)+(COUNTIFS(Data!I$2:I$500,"Цивільний процес",Data!M$2:M$500,1))))))</f>
        <v>4.7857142857142856</v>
      </c>
      <c r="G84" s="28"/>
      <c r="H84" s="3"/>
      <c r="I84" s="3"/>
      <c r="J84" s="3"/>
      <c r="K84" s="3"/>
      <c r="L84" s="3"/>
      <c r="M84" s="3"/>
      <c r="N84" s="3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">
      <c r="A85" s="165" t="s">
        <v>117</v>
      </c>
      <c r="B85" s="134"/>
      <c r="C85" s="134"/>
      <c r="D85" s="134"/>
      <c r="E85" s="135"/>
      <c r="F85" s="59">
        <f>((COUNTIFS(Data!I$2:I$500,"Кримінальний процес",Data!M$2:M$500,5)*5)+(COUNTIFS(Data!I$2:I$500,"Кримінальний процес",Data!M$2:M$500,4)*4)+(COUNTIFS(Data!I$2:I$500,"Кримінальний процес",Data!M$2:M$500,3)*3)+(COUNTIFS(Data!I$2:I$500,"Кримінальний процес",Data!M$2:M$500,2)*2)+(COUNTIFS(Data!I$2:I$500,"Кримінальний процес",Data!M$2:M$500,1)*1))/(COUNTIFS(Data!I$2:I$500,"Кримінальний процес",Data!M$2:M$500,5)+(COUNTIFS(Data!I$2:I$500,"Кримінальний процес",Data!M$2:M$500,4)+(COUNTIFS(Data!I$2:I$500,"Кримінальний процес",Data!M$2:M$500,3)+(COUNTIFS(Data!I$2:I$500,"Кримінальний процес",Data!M$2:M$500,2)+(COUNTIFS(Data!I$2:I$500,"Кримінальний процес",Data!M$2:M$500,1))))))</f>
        <v>4.833333333333333</v>
      </c>
      <c r="G85" s="28"/>
      <c r="H85" s="3"/>
      <c r="I85" s="3"/>
      <c r="J85" s="3"/>
      <c r="K85" s="3"/>
      <c r="L85" s="3"/>
      <c r="M85" s="3"/>
      <c r="N85" s="3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">
      <c r="A86" s="165" t="s">
        <v>123</v>
      </c>
      <c r="B86" s="134"/>
      <c r="C86" s="134"/>
      <c r="D86" s="134"/>
      <c r="E86" s="135"/>
      <c r="F86" s="59">
        <f>((COUNTIFS(Data!I$2:I$500,"Адміністративний процес",Data!M$2:M$500,5)*5)+(COUNTIFS(Data!I$2:I$500,"Адміністративний процес",Data!M$2:M$500,4)*4)+(COUNTIFS(Data!I$2:I$500,"Адміністративний процес",Data!M$2:M$500,3)*3)+(COUNTIFS(Data!I$2:I$500,"Адміністративний процес",Data!M$2:M$500,2)*2)+(COUNTIFS(Data!I$2:I$500,"Адміністративний процес",Data!M$2:M$500,1)*1))/(COUNTIFS(Data!I$2:I$500,"Адміністративний процес",Data!M$2:M$500,5)+(COUNTIFS(Data!I$2:I$500,"Адміністративний процес",Data!M$2:M$500,4)+(COUNTIFS(Data!I$2:I$500,"Адміністративний процес",Data!M$2:M$500,3)+(COUNTIFS(Data!I$2:I$500,"Адміністративний процес",Data!M$2:M$500,2)+(COUNTIFS(Data!I$2:I$500,"Адміністративний процес",Data!M$2:M$500,1))))))</f>
        <v>4</v>
      </c>
      <c r="G86" s="28"/>
      <c r="H86" s="3"/>
      <c r="I86" s="3"/>
      <c r="J86" s="3"/>
      <c r="K86" s="3"/>
      <c r="L86" s="3"/>
      <c r="M86" s="3"/>
      <c r="N86" s="3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">
      <c r="A87" s="165" t="s">
        <v>125</v>
      </c>
      <c r="B87" s="134"/>
      <c r="C87" s="134"/>
      <c r="D87" s="134"/>
      <c r="E87" s="135"/>
      <c r="F87" s="59" t="e">
        <f>((COUNTIFS(Data!I$2:I$500,"Господарський процес",Data!M$2:M$500,5)*5)+(COUNTIFS(Data!I$2:I$500,"Господарський процес",Data!M$2:M$500,4)*4)+(COUNTIFS(Data!I$2:I$500,"Господарський процес",Data!M$2:M$500,3)*3)+(COUNTIFS(Data!I$2:I$500,"Господарський процес",Data!M$2:M$500,2)*2)+(COUNTIFS(Data!I$2:I$500,"Господарський процес",Data!M$2:M$500,1)*1))/(COUNTIFS(Data!I$2:I$500,"Господарський процес",Data!M$2:M$500,5)+(COUNTIFS(Data!I$2:I$500,"Господарський процес",Data!M$2:M$500,4)+(COUNTIFS(Data!I$2:I$500,"Господарський процес",Data!M$2:M$500,3)+(COUNTIFS(Data!I$2:I$500,"Господарський процес",Data!M$2:M$500,2)+(COUNTIFS(Data!I$2:I$500,"Господарський процес",Data!M$2:M$500,1))))))</f>
        <v>#DIV/0!</v>
      </c>
      <c r="G87" s="28"/>
      <c r="H87" s="3"/>
      <c r="I87" s="3"/>
      <c r="J87" s="3"/>
      <c r="K87" s="3"/>
      <c r="L87" s="3"/>
      <c r="M87" s="3"/>
      <c r="N87" s="3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">
      <c r="A88" s="165" t="s">
        <v>127</v>
      </c>
      <c r="B88" s="134"/>
      <c r="C88" s="134"/>
      <c r="D88" s="134"/>
      <c r="E88" s="135"/>
      <c r="F88" s="59" t="e">
        <f>((COUNTIFS(Data!I$2:I$500,"Справа про адміністративні  правопорушення",Data!M$2:M$500,5)*5)+(COUNTIFS(Data!I$2:I$500,"Справа про адміністративні  правопорушення",Data!M$2:M$500,4)*4)+(COUNTIFS(Data!I$2:I$500,"Справа про адміністративні  правопорушення",Data!M$2:M$500,3)*3)+(COUNTIFS(Data!I$2:I$500,"Справа про адміністративні  правопорушення",Data!M$2:M$500,2)*2)+(COUNTIFS(Data!I$2:I$500,"Справа про адміністративні  правопорушення",Data!M$2:M$500,1)*1))/(COUNTIFS(Data!I$2:I$500,"Справа про адміністративні  правопорушення",Data!M$2:M$500,5)+(COUNTIFS(Data!I$2:I$500,"Справа про адміністративні  правопорушення",Data!M$2:M$500,4)+(COUNTIFS(Data!I$2:I$500,"Справа про адміністративні  правопорушення",Data!M$2:M$500,3)+(COUNTIFS(Data!I$2:I$500,"Справа про адміністративні  правопорушення",Data!M$2:M$500,2)+(COUNTIFS(Data!I$2:I$500,"Справа про адміністративні  правопорушення",Data!M$2:M$500,1))))))</f>
        <v>#DIV/0!</v>
      </c>
      <c r="G88" s="28"/>
      <c r="H88" s="3"/>
      <c r="I88" s="3"/>
      <c r="J88" s="3"/>
      <c r="K88" s="3"/>
      <c r="L88" s="3"/>
      <c r="M88" s="3"/>
      <c r="N88" s="3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>
      <c r="A89" s="66"/>
      <c r="B89" s="66"/>
      <c r="C89" s="66"/>
      <c r="D89" s="66"/>
      <c r="E89" s="66"/>
      <c r="F89" s="1"/>
      <c r="G89" s="28"/>
      <c r="H89" s="3"/>
      <c r="I89" s="3"/>
      <c r="J89" s="3"/>
      <c r="K89" s="3"/>
      <c r="L89" s="3"/>
      <c r="M89" s="3"/>
      <c r="N89" s="3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>
      <c r="A90" s="66"/>
      <c r="B90" s="66"/>
      <c r="C90" s="66"/>
      <c r="D90" s="66"/>
      <c r="E90" s="66"/>
      <c r="F90" s="1"/>
      <c r="G90" s="28"/>
      <c r="H90" s="3"/>
      <c r="I90" s="3"/>
      <c r="J90" s="3"/>
      <c r="K90" s="3"/>
      <c r="L90" s="3"/>
      <c r="M90" s="3"/>
      <c r="N90" s="3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>
      <c r="A91" s="66"/>
      <c r="B91" s="66"/>
      <c r="C91" s="66"/>
      <c r="D91" s="66"/>
      <c r="E91" s="66"/>
      <c r="F91" s="1"/>
      <c r="G91" s="28"/>
      <c r="H91" s="3"/>
      <c r="I91" s="3"/>
      <c r="J91" s="3"/>
      <c r="K91" s="3"/>
      <c r="L91" s="3"/>
      <c r="M91" s="3"/>
      <c r="N91" s="3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>
      <c r="A92" s="66"/>
      <c r="B92" s="66"/>
      <c r="C92" s="66"/>
      <c r="D92" s="66"/>
      <c r="E92" s="66"/>
      <c r="F92" s="1"/>
      <c r="G92" s="28"/>
      <c r="H92" s="3"/>
      <c r="I92" s="3"/>
      <c r="J92" s="3"/>
      <c r="K92" s="3"/>
      <c r="L92" s="3"/>
      <c r="M92" s="3"/>
      <c r="N92" s="3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>
      <c r="A93" s="66"/>
      <c r="B93" s="66"/>
      <c r="C93" s="66"/>
      <c r="D93" s="66"/>
      <c r="E93" s="66"/>
      <c r="F93" s="1"/>
      <c r="G93" s="28"/>
      <c r="H93" s="3"/>
      <c r="I93" s="3"/>
      <c r="J93" s="3"/>
      <c r="K93" s="3"/>
      <c r="L93" s="3"/>
      <c r="M93" s="3"/>
      <c r="N93" s="3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>
      <c r="A94" s="66"/>
      <c r="B94" s="66"/>
      <c r="C94" s="66"/>
      <c r="D94" s="66"/>
      <c r="E94" s="66"/>
      <c r="F94" s="1"/>
      <c r="G94" s="28"/>
      <c r="H94" s="3"/>
      <c r="I94" s="3"/>
      <c r="J94" s="3"/>
      <c r="K94" s="3"/>
      <c r="L94" s="3"/>
      <c r="M94" s="3"/>
      <c r="N94" s="3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>
      <c r="A95" s="66"/>
      <c r="B95" s="66"/>
      <c r="C95" s="66"/>
      <c r="D95" s="66"/>
      <c r="E95" s="66"/>
      <c r="F95" s="1"/>
      <c r="G95" s="28"/>
      <c r="H95" s="3"/>
      <c r="I95" s="3"/>
      <c r="J95" s="3"/>
      <c r="K95" s="3"/>
      <c r="L95" s="3"/>
      <c r="M95" s="3"/>
      <c r="N95" s="3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7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7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7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7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7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.7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.7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.7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.7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.7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.7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.7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.7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.7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.7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.7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.7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.7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.7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.7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.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.7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.7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.7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.7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.7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.7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.7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.7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.7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.7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.7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.7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.7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.7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.7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.7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.7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.7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.7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.7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.7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.7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.7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.7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.7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.7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.7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.7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.7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.7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.7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.7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.7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.7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.7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.7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.7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.7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.7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.7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.7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.7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.7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.7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.7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.7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.7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.7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.7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.7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.7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.7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.7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.7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.7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.7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.7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.7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.7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.7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.7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.7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.7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.7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.7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.7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.7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.7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.7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.7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.7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.7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.7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.7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.7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.7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.7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.7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.7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.7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.7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.7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.7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.7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.7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.7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.7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.7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.7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.7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.7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.7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.7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.7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.7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.7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.7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.7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.7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.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.7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.7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.7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.7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.7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.7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.7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.7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.7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.7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.7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.7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.7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.7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.7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.7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.7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.7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.7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.7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.7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.7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.7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.7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.7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.7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.7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.7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.7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.7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.7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.7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.7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.7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.7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.7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.7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.7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.7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.7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.7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.7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.7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.7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.7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.7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.7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.7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.7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.7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.7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.7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.7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.7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.7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.7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.7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.7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.7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.7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.7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.7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.7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.7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.7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.7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.7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.7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.7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.7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.7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.7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.7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.7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.7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.7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.7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.7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.7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.7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.7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.7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.7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.7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.7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.7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.7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.7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.7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.7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.7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.7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.7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.7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.7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.7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.7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.7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.7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.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.7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.7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.7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.7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.7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.7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.7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.7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.7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.7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.7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.7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.7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.7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.7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.7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.7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.7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.7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.7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.7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.7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.7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.7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.7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.7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.7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.7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.7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.7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.7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.7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.7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.7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.7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.7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.7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.7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.7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.7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.7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.7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.7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.7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.7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.7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.7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.7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.7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.7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.7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.7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.7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.7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.7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.7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.7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.7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.7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.7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.7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.7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.7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.7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.7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.7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.7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.7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.7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.7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.7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.7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.7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.7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.7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.7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.7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.7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.7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.7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.7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.7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.7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.7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.7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.7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.7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.7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.7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.7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.7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.7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.7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.7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.7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.7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.7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.7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.7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.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.7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.7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.7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.7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.7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.7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.7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.7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.7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.7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.7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.7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.7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.7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.7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.7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.7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.7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.7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.7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.7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.7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.7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.7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.7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.7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.7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.7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.7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.7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.7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.7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.7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.7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.7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.7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.7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.7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.7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.7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.7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.7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.7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.7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.7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.7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.7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.7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.7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.7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.7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.7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.7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.7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.7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.7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.7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.7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.7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.7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.7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.7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.7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.7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.7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.7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.7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.7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.7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.7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.7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.7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.7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.7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.7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.7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.7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.7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.7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.7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.7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.7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.7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.7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.7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.7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.7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.7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.7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.7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.7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.7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.7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.7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.7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.7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.7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.7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.7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.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.7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.7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.7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.7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.7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.7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.7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.7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.7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.7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.7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.7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.7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.7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.7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.7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.7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.7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.7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.7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.7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.7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.7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.7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.7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.7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.7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.7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.7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.7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.7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.7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.7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.7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.7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.7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.7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.7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.7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.7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.7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.7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.7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.7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.7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.7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.7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.7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.7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.7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.7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.7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.7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.7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.7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.7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.7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.7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.7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.7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.7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.7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.7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.7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.7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.7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.7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.7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.7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.7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.7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.7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.7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.7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.7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.7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.7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.7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.7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.7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.7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.7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.7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.7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.7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.7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.7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.7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.7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.7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.7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.7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.7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.7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.7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.7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.7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.7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.7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.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.7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.7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.7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.7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.7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.7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.7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.7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.7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.7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.7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.7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.7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.7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.7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.7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.7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.7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.7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.7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.7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.7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.7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.7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.7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.7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.7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.7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.7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.7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.7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.7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.7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.7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.7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.7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.7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.7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.7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.7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.7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.7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.7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.7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.7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.7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.7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.7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.7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.7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.7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.7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.7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.7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.7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.7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.7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.7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.7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.7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.7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.7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.7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.7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.7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.7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.7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.7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.7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.7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.7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.7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.7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.7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.7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.7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.7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.7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.7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.7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.7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.7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.7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.7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.7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.7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.7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.7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.7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.7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.7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.7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.7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.7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.7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.7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.7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.7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.7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.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.7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.7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.7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.7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.7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.7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.7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.7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.7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.7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.7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.7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.7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.7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.7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.7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.7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.7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.7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.7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.7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.7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.7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.7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.7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.7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.7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.7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.7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.7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.7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.7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.7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.7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.7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.7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.7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.7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.7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.7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.7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.7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.7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.7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.7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.7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.7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.7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.7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.7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.7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.7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.7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.7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.7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.7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.7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.7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.7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.7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.7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.7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.7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.7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.7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.7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.7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.7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.7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.7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</sheetData>
  <mergeCells count="54">
    <mergeCell ref="A77:E77"/>
    <mergeCell ref="A73:E73"/>
    <mergeCell ref="A87:E87"/>
    <mergeCell ref="A88:E88"/>
    <mergeCell ref="A23:E23"/>
    <mergeCell ref="A58:E58"/>
    <mergeCell ref="A59:E59"/>
    <mergeCell ref="A71:E71"/>
    <mergeCell ref="A72:E72"/>
    <mergeCell ref="A22:E22"/>
    <mergeCell ref="A55:E55"/>
    <mergeCell ref="A54:E54"/>
    <mergeCell ref="A56:E56"/>
    <mergeCell ref="A57:E57"/>
    <mergeCell ref="A49:E49"/>
    <mergeCell ref="A48:E48"/>
    <mergeCell ref="A32:E32"/>
    <mergeCell ref="A31:E31"/>
    <mergeCell ref="A29:E29"/>
    <mergeCell ref="A28:E28"/>
    <mergeCell ref="A26:E26"/>
    <mergeCell ref="A30:E30"/>
    <mergeCell ref="A20:E20"/>
    <mergeCell ref="A3:G3"/>
    <mergeCell ref="A24:E24"/>
    <mergeCell ref="A25:E25"/>
    <mergeCell ref="A86:E86"/>
    <mergeCell ref="A85:E85"/>
    <mergeCell ref="A84:E84"/>
    <mergeCell ref="A83:E83"/>
    <mergeCell ref="A78:E78"/>
    <mergeCell ref="A80:E80"/>
    <mergeCell ref="A79:E79"/>
    <mergeCell ref="A81:E81"/>
    <mergeCell ref="A82:E82"/>
    <mergeCell ref="A74:E74"/>
    <mergeCell ref="A75:E75"/>
    <mergeCell ref="A76:E76"/>
    <mergeCell ref="A21:E21"/>
    <mergeCell ref="A41:E41"/>
    <mergeCell ref="A70:E70"/>
    <mergeCell ref="A66:E66"/>
    <mergeCell ref="A69:E69"/>
    <mergeCell ref="A68:E68"/>
    <mergeCell ref="A67:E67"/>
    <mergeCell ref="A50:E50"/>
    <mergeCell ref="A53:E53"/>
    <mergeCell ref="A51:E51"/>
    <mergeCell ref="A65:E65"/>
    <mergeCell ref="A64:E64"/>
    <mergeCell ref="A62:E62"/>
    <mergeCell ref="A63:E63"/>
    <mergeCell ref="A61:E61"/>
    <mergeCell ref="A60:E6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H61"/>
  <sheetViews>
    <sheetView workbookViewId="0"/>
  </sheetViews>
  <sheetFormatPr defaultColWidth="14.42578125" defaultRowHeight="15.75" customHeight="1"/>
  <sheetData>
    <row r="61" spans="8:8" ht="15.75" customHeight="1">
      <c r="H61" s="13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H98"/>
  <sheetViews>
    <sheetView workbookViewId="0"/>
  </sheetViews>
  <sheetFormatPr defaultColWidth="14.42578125" defaultRowHeight="15.75" customHeight="1"/>
  <cols>
    <col min="1" max="1" width="75.42578125" customWidth="1"/>
    <col min="2" max="2" width="10.85546875" customWidth="1"/>
    <col min="3" max="3" width="11.140625" customWidth="1"/>
    <col min="4" max="4" width="11.7109375" customWidth="1"/>
    <col min="5" max="5" width="10.5703125" customWidth="1"/>
    <col min="6" max="6" width="11.140625" customWidth="1"/>
    <col min="7" max="7" width="11.28515625" customWidth="1"/>
  </cols>
  <sheetData>
    <row r="1" spans="1:8" ht="18">
      <c r="A1" s="95" t="s">
        <v>178</v>
      </c>
    </row>
    <row r="2" spans="1:8" ht="15.75" customHeight="1">
      <c r="A2" s="96"/>
      <c r="B2" s="97"/>
      <c r="C2" s="97"/>
      <c r="D2" s="97"/>
      <c r="E2" s="97"/>
      <c r="F2" s="97"/>
      <c r="G2" s="97"/>
      <c r="H2" s="98"/>
    </row>
    <row r="3" spans="1:8" ht="15.75" customHeight="1">
      <c r="A3" s="176" t="s">
        <v>180</v>
      </c>
      <c r="B3" s="149"/>
      <c r="C3" s="149"/>
      <c r="D3" s="149"/>
      <c r="E3" s="149"/>
      <c r="F3" s="149"/>
      <c r="G3" s="149"/>
      <c r="H3" s="99">
        <f>(H17+H30+H45+H57+H67+H79)/6</f>
        <v>4.4679857006012424</v>
      </c>
    </row>
    <row r="4" spans="1:8" ht="15.75" customHeight="1">
      <c r="A4" s="96"/>
      <c r="B4" s="97"/>
      <c r="C4" s="97"/>
      <c r="D4" s="97"/>
      <c r="E4" s="97"/>
      <c r="F4" s="97"/>
      <c r="G4" s="97"/>
      <c r="H4" s="98"/>
    </row>
    <row r="5" spans="1:8" ht="15.75" customHeight="1">
      <c r="A5" s="96"/>
      <c r="B5" s="97"/>
      <c r="C5" s="97"/>
      <c r="D5" s="97"/>
      <c r="E5" s="97"/>
      <c r="F5" s="97"/>
      <c r="G5" s="97"/>
      <c r="H5" s="98"/>
    </row>
    <row r="6" spans="1:8" ht="18">
      <c r="A6" s="95" t="s">
        <v>181</v>
      </c>
      <c r="B6" s="97"/>
      <c r="C6" s="97"/>
      <c r="D6" s="97"/>
      <c r="E6" s="97"/>
      <c r="F6" s="97"/>
      <c r="G6" s="97"/>
      <c r="H6" s="98"/>
    </row>
    <row r="7" spans="1:8" ht="15.75" customHeight="1">
      <c r="A7" s="100" t="s">
        <v>119</v>
      </c>
      <c r="B7" s="101">
        <v>1</v>
      </c>
      <c r="C7" s="101">
        <v>2</v>
      </c>
      <c r="D7" s="101">
        <v>3</v>
      </c>
      <c r="E7" s="101">
        <v>4</v>
      </c>
      <c r="F7" s="101">
        <v>5</v>
      </c>
      <c r="G7" s="101" t="s">
        <v>182</v>
      </c>
      <c r="H7" s="103" t="s">
        <v>64</v>
      </c>
    </row>
    <row r="8" spans="1:8" ht="15.75" customHeight="1">
      <c r="A8" s="104" t="s">
        <v>122</v>
      </c>
      <c r="B8" s="105">
        <f>COUNTIF(Data!$P$2:$P$500,1)</f>
        <v>0</v>
      </c>
      <c r="C8" s="105">
        <f>COUNTIF(Data!$P$2:$P$500,2)</f>
        <v>0</v>
      </c>
      <c r="D8" s="105">
        <f>COUNTIF(Data!$P$2:$P$500,3)</f>
        <v>2</v>
      </c>
      <c r="E8" s="105">
        <f>COUNTIF(Data!$P$2:$P$500,4)</f>
        <v>1</v>
      </c>
      <c r="F8" s="105">
        <f>COUNTIF(Data!$P$2:$P$500,5)</f>
        <v>26</v>
      </c>
      <c r="G8" s="105">
        <f>COUNTIF(Data!$P$2:$P$500,9)</f>
        <v>1</v>
      </c>
      <c r="H8" s="106">
        <f t="shared" ref="H8:H16" si="0">((B8*1)+(C8*2)+(D8*3)+(E8*4)+(F8*5))/SUM(B8:F8)</f>
        <v>4.8275862068965516</v>
      </c>
    </row>
    <row r="9" spans="1:8" ht="15.75" customHeight="1">
      <c r="A9" s="104" t="s">
        <v>126</v>
      </c>
      <c r="B9" s="105">
        <f>COUNTIF(Data!$Q$2:$Q$500,1)</f>
        <v>0</v>
      </c>
      <c r="C9" s="105">
        <f>COUNTIF(Data!$Q$2:$Q$500,2)</f>
        <v>0</v>
      </c>
      <c r="D9" s="105">
        <f>COUNTIF(Data!$Q$2:$Q$500,3)</f>
        <v>2</v>
      </c>
      <c r="E9" s="105">
        <f>COUNTIF(Data!$Q$2:$Q$500,4)</f>
        <v>3</v>
      </c>
      <c r="F9" s="105">
        <f>COUNTIF(Data!$Q$2:$Q$500,5)</f>
        <v>18</v>
      </c>
      <c r="G9" s="105">
        <f>COUNTIF(Data!$Q$2:$Q$500,9)</f>
        <v>7</v>
      </c>
      <c r="H9" s="106">
        <f t="shared" si="0"/>
        <v>4.6956521739130439</v>
      </c>
    </row>
    <row r="10" spans="1:8" ht="15.75" customHeight="1">
      <c r="A10" s="104" t="s">
        <v>128</v>
      </c>
      <c r="B10" s="105">
        <f>COUNTIF(Data!$R$2:$R$500,1)</f>
        <v>0</v>
      </c>
      <c r="C10" s="105">
        <f>COUNTIF(Data!$R$2:$R$500,2)</f>
        <v>2</v>
      </c>
      <c r="D10" s="105">
        <f>COUNTIF(Data!$R$2:$R$500,3)</f>
        <v>0</v>
      </c>
      <c r="E10" s="105">
        <f>COUNTIF(Data!$R$2:$R$500,4)</f>
        <v>7</v>
      </c>
      <c r="F10" s="105">
        <f>COUNTIF(Data!$R$2:$R$500,5)</f>
        <v>12</v>
      </c>
      <c r="G10" s="105">
        <f>COUNTIF(Data!$R$2:$R$500,9)</f>
        <v>9</v>
      </c>
      <c r="H10" s="106">
        <f t="shared" si="0"/>
        <v>4.3809523809523814</v>
      </c>
    </row>
    <row r="11" spans="1:8" ht="15.75" customHeight="1">
      <c r="A11" s="104" t="s">
        <v>129</v>
      </c>
      <c r="B11" s="105">
        <f>COUNTIF(Data!$S$2:$S$500,1)</f>
        <v>1</v>
      </c>
      <c r="C11" s="105">
        <f>COUNTIF(Data!$S$2:$S$500,2)</f>
        <v>0</v>
      </c>
      <c r="D11" s="105">
        <f>COUNTIF(Data!$S$2:$S$500,3)</f>
        <v>0</v>
      </c>
      <c r="E11" s="105">
        <f>COUNTIF(Data!$S$2:$S$500,4)</f>
        <v>0</v>
      </c>
      <c r="F11" s="105">
        <f>COUNTIF(Data!$S$2:$S$500,5)</f>
        <v>29</v>
      </c>
      <c r="G11" s="105">
        <f>COUNTIF(Data!$S$2:$S$500,9)</f>
        <v>0</v>
      </c>
      <c r="H11" s="106">
        <f t="shared" si="0"/>
        <v>4.8666666666666663</v>
      </c>
    </row>
    <row r="12" spans="1:8" ht="15.75" customHeight="1">
      <c r="A12" s="104" t="s">
        <v>131</v>
      </c>
      <c r="B12" s="105">
        <f>COUNTIF(Data!$T$2:$T$500,1)</f>
        <v>2</v>
      </c>
      <c r="C12" s="105">
        <f>COUNTIF(Data!$T$2:$T$500,2)</f>
        <v>5</v>
      </c>
      <c r="D12" s="105">
        <f>COUNTIF(Data!$T$2:$T$500,3)</f>
        <v>3</v>
      </c>
      <c r="E12" s="105">
        <f>COUNTIF(Data!$T$2:$T$500,4)</f>
        <v>7</v>
      </c>
      <c r="F12" s="105">
        <f>COUNTIF(Data!$T$2:$T$500,5)</f>
        <v>13</v>
      </c>
      <c r="G12" s="105">
        <f>COUNTIF(Data!$T$2:$T$500,9)</f>
        <v>0</v>
      </c>
      <c r="H12" s="106">
        <f t="shared" si="0"/>
        <v>3.8</v>
      </c>
    </row>
    <row r="13" spans="1:8" ht="15.75" customHeight="1">
      <c r="A13" s="104" t="s">
        <v>191</v>
      </c>
      <c r="B13" s="105">
        <f>COUNTIF(Data!$U$2:$U$500,1)</f>
        <v>0</v>
      </c>
      <c r="C13" s="105">
        <f>COUNTIF(Data!$U$2:$U$500,2)</f>
        <v>0</v>
      </c>
      <c r="D13" s="105">
        <f>COUNTIF(Data!$U$2:$U$500,3)</f>
        <v>2</v>
      </c>
      <c r="E13" s="105">
        <f>COUNTIF(Data!$U$2:$U$500,4)</f>
        <v>4</v>
      </c>
      <c r="F13" s="105">
        <f>COUNTIF(Data!$U$2:$U$500,5)</f>
        <v>21</v>
      </c>
      <c r="G13" s="105">
        <f>COUNTIF(Data!$U$2:$U$500,9)</f>
        <v>3</v>
      </c>
      <c r="H13" s="106">
        <f t="shared" si="0"/>
        <v>4.7037037037037033</v>
      </c>
    </row>
    <row r="14" spans="1:8" ht="15.75" customHeight="1">
      <c r="A14" s="104" t="s">
        <v>133</v>
      </c>
      <c r="B14" s="105">
        <f>COUNTIF(Data!$V$2:$V$500,1)</f>
        <v>0</v>
      </c>
      <c r="C14" s="105">
        <f>COUNTIF(Data!$V$2:$V$500,2)</f>
        <v>1</v>
      </c>
      <c r="D14" s="105">
        <f>COUNTIF(Data!$V$2:$V$500,3)</f>
        <v>2</v>
      </c>
      <c r="E14" s="105">
        <f>COUNTIF(Data!$V$2:$V$500,4)</f>
        <v>3</v>
      </c>
      <c r="F14" s="105">
        <f>COUNTIF(Data!$V$2:$V$500,5)</f>
        <v>21</v>
      </c>
      <c r="G14" s="105">
        <f>COUNTIF(Data!$V$2:$V$500,9)</f>
        <v>3</v>
      </c>
      <c r="H14" s="106">
        <f t="shared" si="0"/>
        <v>4.6296296296296298</v>
      </c>
    </row>
    <row r="15" spans="1:8" ht="15.75" customHeight="1">
      <c r="A15" s="112" t="s">
        <v>134</v>
      </c>
      <c r="B15" s="113">
        <f>COUNTIF(Data!$W$2:$W$500,1)</f>
        <v>1</v>
      </c>
      <c r="C15" s="113">
        <f>COUNTIF(Data!$W$2:$W$500,2)</f>
        <v>1</v>
      </c>
      <c r="D15" s="113">
        <f>COUNTIF(Data!$W$2:$W$500,3)</f>
        <v>0</v>
      </c>
      <c r="E15" s="113">
        <f>COUNTIF(Data!$W$2:$W$500,4)</f>
        <v>5</v>
      </c>
      <c r="F15" s="113">
        <f>COUNTIF(Data!$W$2:$W$500,5)</f>
        <v>20</v>
      </c>
      <c r="G15" s="113">
        <f>COUNTIF(Data!$W$2:$W$500,9)</f>
        <v>3</v>
      </c>
      <c r="H15" s="114">
        <f t="shared" si="0"/>
        <v>4.5555555555555554</v>
      </c>
    </row>
    <row r="16" spans="1:8" ht="15.75" customHeight="1">
      <c r="A16" s="104" t="s">
        <v>199</v>
      </c>
      <c r="B16" s="105">
        <f>COUNTIF(Data!$X$2:$X$500,1)</f>
        <v>4</v>
      </c>
      <c r="C16" s="105">
        <f>COUNTIF(Data!$X$2:$X$500,2)</f>
        <v>5</v>
      </c>
      <c r="D16" s="105">
        <f>COUNTIF(Data!$X$2:$X$500,3)</f>
        <v>3</v>
      </c>
      <c r="E16" s="105">
        <f>COUNTIF(Data!$X$2:$X$500,4)</f>
        <v>4</v>
      </c>
      <c r="F16" s="105">
        <f>COUNTIF(Data!$X$2:$X$500,5)</f>
        <v>1</v>
      </c>
      <c r="G16" s="105">
        <f>COUNTIF(Data!$X$2:$X$500,9)</f>
        <v>13</v>
      </c>
      <c r="H16" s="106">
        <f t="shared" si="0"/>
        <v>2.5882352941176472</v>
      </c>
    </row>
    <row r="17" spans="1:8">
      <c r="A17" s="115" t="s">
        <v>136</v>
      </c>
      <c r="B17" s="81"/>
      <c r="C17" s="81"/>
      <c r="D17" s="81"/>
      <c r="E17" s="81"/>
      <c r="F17" s="81"/>
      <c r="G17" s="81"/>
      <c r="H17" s="81">
        <f>(H8+H9+H10+H11+H12+H13+H16+H14)/8</f>
        <v>4.3115532569849524</v>
      </c>
    </row>
    <row r="18" spans="1:8" ht="15.75" customHeight="1">
      <c r="A18" s="116"/>
    </row>
    <row r="19" spans="1:8" ht="15.75" customHeight="1">
      <c r="A19" s="117" t="s">
        <v>203</v>
      </c>
      <c r="B19" s="118"/>
    </row>
    <row r="20" spans="1:8" ht="15.75" customHeight="1">
      <c r="A20" s="117" t="s">
        <v>204</v>
      </c>
      <c r="B20" s="118"/>
    </row>
    <row r="21" spans="1:8" ht="15.75" customHeight="1">
      <c r="A21" s="117" t="s">
        <v>205</v>
      </c>
      <c r="B21" s="118"/>
    </row>
    <row r="24" spans="1:8">
      <c r="A24" s="119" t="s">
        <v>207</v>
      </c>
      <c r="B24" s="97"/>
      <c r="C24" s="97"/>
      <c r="D24" s="97"/>
      <c r="E24" s="97"/>
      <c r="F24" s="97"/>
      <c r="G24" s="97"/>
      <c r="H24" s="98"/>
    </row>
    <row r="25" spans="1:8" ht="15.75" customHeight="1">
      <c r="A25" s="100" t="s">
        <v>119</v>
      </c>
      <c r="B25" s="101">
        <v>1</v>
      </c>
      <c r="C25" s="101">
        <v>2</v>
      </c>
      <c r="D25" s="101">
        <v>3</v>
      </c>
      <c r="E25" s="101">
        <v>4</v>
      </c>
      <c r="F25" s="101">
        <v>5</v>
      </c>
      <c r="G25" s="101" t="s">
        <v>182</v>
      </c>
      <c r="H25" s="103" t="s">
        <v>64</v>
      </c>
    </row>
    <row r="26" spans="1:8" ht="15.75" customHeight="1">
      <c r="A26" s="104" t="s">
        <v>139</v>
      </c>
      <c r="B26" s="105">
        <f>COUNTIF(Data!$Y$2:$Y$500,1)</f>
        <v>0</v>
      </c>
      <c r="C26" s="105">
        <f>COUNTIF(Data!$Y$2:$Y$500,2)</f>
        <v>1</v>
      </c>
      <c r="D26" s="105">
        <f>COUNTIF(Data!$Y$2:$Y$500,3)</f>
        <v>6</v>
      </c>
      <c r="E26" s="105">
        <f>COUNTIF(Data!$Y$2:$Y$500,4)</f>
        <v>6</v>
      </c>
      <c r="F26" s="105">
        <f>COUNTIF(Data!$Y$2:$Y$500,5)</f>
        <v>17</v>
      </c>
      <c r="G26" s="105">
        <f>COUNTIF(Data!$Y$2:$Y$500,9)</f>
        <v>0</v>
      </c>
      <c r="H26" s="106">
        <f t="shared" ref="H26:H29" si="1">((B26*1)+(C26*2)+(D26*3)+(E26*4)+(F26*5))/SUM(B26:F26)</f>
        <v>4.3</v>
      </c>
    </row>
    <row r="27" spans="1:8" ht="15.75" customHeight="1">
      <c r="A27" s="104" t="s">
        <v>140</v>
      </c>
      <c r="B27" s="105">
        <f>COUNTIF(Data!$Z$2:$Z$500,1)</f>
        <v>1</v>
      </c>
      <c r="C27" s="105">
        <f>COUNTIF(Data!$Z$2:$Z$500,2)</f>
        <v>1</v>
      </c>
      <c r="D27" s="105">
        <f>COUNTIF(Data!$Z$2:$Z$500,3)</f>
        <v>3</v>
      </c>
      <c r="E27" s="105">
        <f>COUNTIF(Data!$Z$2:$Z$500,4)</f>
        <v>3</v>
      </c>
      <c r="F27" s="105">
        <f>COUNTIF(Data!$Z$2:$Z$500,5)</f>
        <v>22</v>
      </c>
      <c r="G27" s="105">
        <f>COUNTIF(Data!$Z$2:$Z$500,9)</f>
        <v>0</v>
      </c>
      <c r="H27" s="106">
        <f t="shared" si="1"/>
        <v>4.4666666666666668</v>
      </c>
    </row>
    <row r="28" spans="1:8" ht="15">
      <c r="A28" s="104" t="s">
        <v>141</v>
      </c>
      <c r="B28" s="105">
        <f>COUNTIF(Data!$AA$2:$AA$500,1)</f>
        <v>0</v>
      </c>
      <c r="C28" s="105">
        <f>COUNTIF(Data!$AA$2:$AA$500,2)</f>
        <v>1</v>
      </c>
      <c r="D28" s="105">
        <f>COUNTIF(Data!$AA$2:$AA$500,3)</f>
        <v>4</v>
      </c>
      <c r="E28" s="105">
        <f>COUNTIF(Data!$AA$2:$AA$500,4)</f>
        <v>9</v>
      </c>
      <c r="F28" s="105">
        <f>COUNTIF(Data!$AA$2:$AA$500,5)</f>
        <v>16</v>
      </c>
      <c r="G28" s="105">
        <f>COUNTIF(Data!$AA$2:$AA$500,9)</f>
        <v>0</v>
      </c>
      <c r="H28" s="106">
        <f t="shared" si="1"/>
        <v>4.333333333333333</v>
      </c>
    </row>
    <row r="29" spans="1:8" ht="15">
      <c r="A29" s="104" t="s">
        <v>142</v>
      </c>
      <c r="B29" s="105">
        <f>COUNTIF(Data!$AB$2:$AB$500,1)</f>
        <v>0</v>
      </c>
      <c r="C29" s="105">
        <f>COUNTIF(Data!$AB$2:$AB$500,2)</f>
        <v>1</v>
      </c>
      <c r="D29" s="105">
        <f>COUNTIF(Data!$AB$2:$AB$500,3)</f>
        <v>2</v>
      </c>
      <c r="E29" s="105">
        <f>COUNTIF(Data!$AB$2:$AB$500,4)</f>
        <v>8</v>
      </c>
      <c r="F29" s="105">
        <f>COUNTIF(Data!$AB$2:$AB$500,5)</f>
        <v>19</v>
      </c>
      <c r="G29" s="105">
        <f>COUNTIF(Data!$AB$2:$AB$500,9)</f>
        <v>0</v>
      </c>
      <c r="H29" s="106">
        <f t="shared" si="1"/>
        <v>4.5</v>
      </c>
    </row>
    <row r="30" spans="1:8">
      <c r="A30" s="115" t="s">
        <v>136</v>
      </c>
      <c r="B30" s="81"/>
      <c r="C30" s="81"/>
      <c r="D30" s="81"/>
      <c r="E30" s="81"/>
      <c r="F30" s="81"/>
      <c r="G30" s="81"/>
      <c r="H30" s="81">
        <f>(H26+H27+H28+H29)/4</f>
        <v>4.3999999999999995</v>
      </c>
    </row>
    <row r="34" spans="1:8">
      <c r="A34" s="119" t="s">
        <v>211</v>
      </c>
      <c r="B34" s="97"/>
      <c r="C34" s="97"/>
      <c r="D34" s="97"/>
      <c r="E34" s="97"/>
      <c r="F34" s="97"/>
      <c r="G34" s="97"/>
      <c r="H34" s="98"/>
    </row>
    <row r="35" spans="1:8" ht="42.75">
      <c r="A35" s="100" t="s">
        <v>119</v>
      </c>
      <c r="B35" s="101">
        <v>1</v>
      </c>
      <c r="C35" s="101">
        <v>2</v>
      </c>
      <c r="D35" s="101">
        <v>3</v>
      </c>
      <c r="E35" s="101">
        <v>4</v>
      </c>
      <c r="F35" s="101">
        <v>5</v>
      </c>
      <c r="G35" s="101" t="s">
        <v>182</v>
      </c>
      <c r="H35" s="103" t="s">
        <v>64</v>
      </c>
    </row>
    <row r="36" spans="1:8">
      <c r="A36" s="120" t="s">
        <v>144</v>
      </c>
      <c r="B36" s="105">
        <f>COUNTIF(Data!$AC$2:$AC$500,1)</f>
        <v>0</v>
      </c>
      <c r="C36" s="105">
        <f>COUNTIF(Data!$AC$2:$AC$500,2)</f>
        <v>1</v>
      </c>
      <c r="D36" s="105">
        <f>COUNTIF(Data!$AC$2:$AC$500,3)</f>
        <v>2</v>
      </c>
      <c r="E36" s="105">
        <f>COUNTIF(Data!$AC$2:$AC$500,4)</f>
        <v>7</v>
      </c>
      <c r="F36" s="105">
        <f>COUNTIF(Data!$AC$2:$AC$500,5)</f>
        <v>19</v>
      </c>
      <c r="G36" s="105">
        <f>COUNTIF(Data!$AC$2:$AC$500,9)</f>
        <v>1</v>
      </c>
      <c r="H36" s="106">
        <f>((B36*1)+(C36*2)+(D36*3)+(E36*4)+(F36*5))/SUM(B36:F36)</f>
        <v>4.5172413793103452</v>
      </c>
    </row>
    <row r="37" spans="1:8">
      <c r="A37" s="120" t="s">
        <v>145</v>
      </c>
      <c r="B37" s="105"/>
      <c r="C37" s="105"/>
      <c r="D37" s="105"/>
      <c r="E37" s="105"/>
      <c r="F37" s="105"/>
      <c r="G37" s="105"/>
      <c r="H37" s="106"/>
    </row>
    <row r="38" spans="1:8" ht="15">
      <c r="A38" s="104" t="s">
        <v>146</v>
      </c>
      <c r="B38" s="105">
        <f>COUNTIF(Data!$AD$2:$AD$500,1)</f>
        <v>0</v>
      </c>
      <c r="C38" s="105">
        <f>COUNTIF(Data!$AD$2:$AD$500,2)</f>
        <v>0</v>
      </c>
      <c r="D38" s="105">
        <f>COUNTIF(Data!$AD$2:$AD$500,3)</f>
        <v>5</v>
      </c>
      <c r="E38" s="105">
        <f>COUNTIF(Data!$AD$2:$AD$500,4)</f>
        <v>5</v>
      </c>
      <c r="F38" s="105">
        <f>COUNTIF(Data!$AD$2:$AD$500,5)</f>
        <v>20</v>
      </c>
      <c r="G38" s="105">
        <f>COUNTIF(Data!$AD$2:$AD$500,9)</f>
        <v>0</v>
      </c>
      <c r="H38" s="106">
        <f t="shared" ref="H38:H42" si="2">((B38*1)+(C38*2)+(D38*3)+(E38*4)+(F38*5))/SUM(B38:F38)</f>
        <v>4.5</v>
      </c>
    </row>
    <row r="39" spans="1:8" ht="15">
      <c r="A39" s="104" t="s">
        <v>147</v>
      </c>
      <c r="B39" s="105">
        <f>COUNTIF(Data!$AE$2:$AE$500,1)</f>
        <v>0</v>
      </c>
      <c r="C39" s="105">
        <f>COUNTIF(Data!$AE$2:$AE$500,2)</f>
        <v>0</v>
      </c>
      <c r="D39" s="105">
        <f>COUNTIF(Data!$AE$2:$AE$500,3)</f>
        <v>1</v>
      </c>
      <c r="E39" s="105">
        <f>COUNTIF(Data!$AE$2:$AE$500,4)</f>
        <v>5</v>
      </c>
      <c r="F39" s="105">
        <f>COUNTIF(Data!$AE$2:$AE$500,5)</f>
        <v>24</v>
      </c>
      <c r="G39" s="105">
        <f>COUNTIF(Data!$AE$2:$AE$500,9)</f>
        <v>0</v>
      </c>
      <c r="H39" s="106">
        <f t="shared" si="2"/>
        <v>4.7666666666666666</v>
      </c>
    </row>
    <row r="40" spans="1:8" ht="15">
      <c r="A40" s="104" t="s">
        <v>148</v>
      </c>
      <c r="B40" s="105">
        <f>COUNTIF(Data!$AF$2:$AF$500,1)</f>
        <v>0</v>
      </c>
      <c r="C40" s="105">
        <f>COUNTIF(Data!$AF$2:$AF$500,2)</f>
        <v>0</v>
      </c>
      <c r="D40" s="105">
        <f>COUNTIF(Data!$AF$2:$AF$500,3)</f>
        <v>0</v>
      </c>
      <c r="E40" s="105">
        <f>COUNTIF(Data!$AF$2:$AF$500,4)</f>
        <v>10</v>
      </c>
      <c r="F40" s="105">
        <f>COUNTIF(Data!$AF$2:$AF$500,5)</f>
        <v>19</v>
      </c>
      <c r="G40" s="105">
        <f>COUNTIF(Data!$AF$2:$AF$500,9)</f>
        <v>1</v>
      </c>
      <c r="H40" s="106">
        <f t="shared" si="2"/>
        <v>4.6551724137931032</v>
      </c>
    </row>
    <row r="41" spans="1:8" ht="15">
      <c r="A41" s="104" t="s">
        <v>149</v>
      </c>
      <c r="B41" s="105">
        <f>COUNTIF(Data!$AG$2:$AG$500,1)</f>
        <v>0</v>
      </c>
      <c r="C41" s="105">
        <f>COUNTIF(Data!$AG$2:$AG$500,2)</f>
        <v>1</v>
      </c>
      <c r="D41" s="105">
        <f>COUNTIF(Data!$AG$2:$AG$500,3)</f>
        <v>2</v>
      </c>
      <c r="E41" s="105">
        <f>COUNTIF(Data!$AG$2:$AG$500,4)</f>
        <v>6</v>
      </c>
      <c r="F41" s="105">
        <f>COUNTIF(Data!$AG$2:$AG$500,5)</f>
        <v>21</v>
      </c>
      <c r="G41" s="105">
        <f>COUNTIF(Data!$AG$2:$AG$500,9)</f>
        <v>0</v>
      </c>
      <c r="H41" s="106">
        <f t="shared" si="2"/>
        <v>4.5666666666666664</v>
      </c>
    </row>
    <row r="42" spans="1:8" ht="15">
      <c r="A42" s="104" t="s">
        <v>150</v>
      </c>
      <c r="B42" s="105">
        <f>COUNTIF(Data!$AH$2:$AH$500,1)</f>
        <v>0</v>
      </c>
      <c r="C42" s="105">
        <f>COUNTIF(Data!$AH$2:$AH$500,2)</f>
        <v>2</v>
      </c>
      <c r="D42" s="105">
        <f>COUNTIF(Data!$AH$2:$AH$500,3)</f>
        <v>2</v>
      </c>
      <c r="E42" s="105">
        <f>COUNTIF(Data!$AH$2:$AH$500,4)</f>
        <v>7</v>
      </c>
      <c r="F42" s="105">
        <f>COUNTIF(Data!$AH$2:$AH$500,5)</f>
        <v>18</v>
      </c>
      <c r="G42" s="105">
        <f>COUNTIF(Data!$AH$2:$AH$500,9)</f>
        <v>1</v>
      </c>
      <c r="H42" s="106">
        <f t="shared" si="2"/>
        <v>4.4137931034482758</v>
      </c>
    </row>
    <row r="43" spans="1:8" ht="15">
      <c r="A43" s="142" t="s">
        <v>151</v>
      </c>
      <c r="B43" s="134"/>
      <c r="C43" s="135"/>
      <c r="D43" s="103" t="s">
        <v>212</v>
      </c>
      <c r="E43" s="105">
        <f>COUNTIF(Data!$AI$2:$AI$500,"Так")</f>
        <v>15</v>
      </c>
      <c r="F43" s="103" t="s">
        <v>213</v>
      </c>
      <c r="G43" s="105">
        <f>COUNTIF(Data!$AI$2:$AI$500,"Ні")</f>
        <v>15</v>
      </c>
      <c r="H43" s="106"/>
    </row>
    <row r="44" spans="1:8" ht="15">
      <c r="A44" s="104" t="s">
        <v>153</v>
      </c>
      <c r="B44" s="105">
        <f>COUNTIF(Data!$AJ$2:$AJ$500,1)</f>
        <v>1</v>
      </c>
      <c r="C44" s="105">
        <f>COUNTIF(Data!$AJ$2:$AJ$500,2)</f>
        <v>0</v>
      </c>
      <c r="D44" s="105">
        <f>COUNTIF(Data!$AJ$2:$AJ$500,3)</f>
        <v>1</v>
      </c>
      <c r="E44" s="105">
        <f>COUNTIF(Data!$AJ$2:$AJ$500,4)</f>
        <v>4</v>
      </c>
      <c r="F44" s="105">
        <f>COUNTIF(Data!$AJ$2:$AJ$500,5)</f>
        <v>11</v>
      </c>
      <c r="G44" s="105">
        <f>COUNTIF(Data!$AJ$2:$AJ$500,9)</f>
        <v>13</v>
      </c>
      <c r="H44" s="106">
        <f>((B44*1)+(C44*2)+(D44*3)+(E44*4)+(F44*5))/SUM(B44:F44)</f>
        <v>4.4117647058823533</v>
      </c>
    </row>
    <row r="45" spans="1:8">
      <c r="A45" s="115" t="s">
        <v>136</v>
      </c>
      <c r="B45" s="81"/>
      <c r="C45" s="81"/>
      <c r="D45" s="81"/>
      <c r="E45" s="81"/>
      <c r="F45" s="81"/>
      <c r="G45" s="81"/>
      <c r="H45" s="81">
        <f>(H36+H38+H39+H40+H41+H42+H43+H44)/7</f>
        <v>4.5473292765382016</v>
      </c>
    </row>
    <row r="49" spans="1:8">
      <c r="A49" s="119" t="s">
        <v>214</v>
      </c>
      <c r="B49" s="97"/>
      <c r="C49" s="97"/>
      <c r="D49" s="97"/>
      <c r="E49" s="97"/>
      <c r="F49" s="97"/>
      <c r="G49" s="97"/>
      <c r="H49" s="98"/>
    </row>
    <row r="50" spans="1:8" ht="42.75">
      <c r="A50" s="100" t="s">
        <v>119</v>
      </c>
      <c r="B50" s="101">
        <v>1</v>
      </c>
      <c r="C50" s="103">
        <v>2</v>
      </c>
      <c r="D50" s="101">
        <v>3</v>
      </c>
      <c r="E50" s="101">
        <v>4</v>
      </c>
      <c r="F50" s="101">
        <v>5</v>
      </c>
      <c r="G50" s="101" t="s">
        <v>182</v>
      </c>
      <c r="H50" s="103" t="s">
        <v>64</v>
      </c>
    </row>
    <row r="51" spans="1:8">
      <c r="A51" s="54" t="s">
        <v>155</v>
      </c>
      <c r="B51" s="105">
        <f>COUNTIF(Data!$AK$2:$AK$500,1)</f>
        <v>0</v>
      </c>
      <c r="C51" s="105">
        <f>COUNTIF(Data!$AK$2:$AK$500,2)</f>
        <v>0</v>
      </c>
      <c r="D51" s="105">
        <f>COUNTIF(Data!$AK$2:$AK$500,3)</f>
        <v>1</v>
      </c>
      <c r="E51" s="105">
        <f>COUNTIF(Data!$AK$2:$AK$500,4)</f>
        <v>4</v>
      </c>
      <c r="F51" s="105">
        <f>COUNTIF(Data!$AK$2:$AK$500,5)</f>
        <v>19</v>
      </c>
      <c r="G51" s="105">
        <f>COUNTIF(Data!$AK$2:$AK$500,9)</f>
        <v>6</v>
      </c>
      <c r="H51" s="106">
        <f>((B51*1)+(C51*2)+(D51*3)+(E51*4)+(F51*5))/SUM(B51:F51)</f>
        <v>4.75</v>
      </c>
    </row>
    <row r="52" spans="1:8" ht="45.75">
      <c r="A52" s="54" t="s">
        <v>156</v>
      </c>
      <c r="B52" s="105">
        <f>COUNTIF(Data!$AL$2:$AL$500,1)</f>
        <v>13</v>
      </c>
      <c r="C52" s="105">
        <f>COUNTIF(Data!$AL$2:$AL$500,2)</f>
        <v>4</v>
      </c>
      <c r="D52" s="105">
        <f>COUNTIF(Data!$AL$2:$AL$500,3)</f>
        <v>2</v>
      </c>
      <c r="E52" s="105">
        <f>COUNTIF(Data!$AL$2:$AL$500,4)</f>
        <v>1</v>
      </c>
      <c r="F52" s="105">
        <f>COUNTIF(Data!$AL$2:$AL$500,5)</f>
        <v>2</v>
      </c>
      <c r="G52" s="105">
        <f>COUNTIF(Data!$AL$2:$AL$500,9)</f>
        <v>8</v>
      </c>
      <c r="H52" s="106">
        <f>((B52*5)+(C52*4)+(D52*3)+(E52*2)+(F52*1))/SUM(B52:F52)</f>
        <v>4.1363636363636367</v>
      </c>
    </row>
    <row r="53" spans="1:8" ht="15">
      <c r="A53" s="121" t="s">
        <v>157</v>
      </c>
      <c r="B53" s="105"/>
      <c r="C53" s="105"/>
      <c r="D53" s="105"/>
      <c r="E53" s="105"/>
      <c r="F53" s="105"/>
      <c r="G53" s="105"/>
      <c r="H53" s="106"/>
    </row>
    <row r="54" spans="1:8" ht="15">
      <c r="A54" s="104" t="s">
        <v>158</v>
      </c>
      <c r="B54" s="105">
        <f>COUNTIF(Data!$AM$2:$AM$500,1)</f>
        <v>0</v>
      </c>
      <c r="C54" s="105">
        <f>COUNTIF(Data!$AM$2:$AM$500,2)</f>
        <v>0</v>
      </c>
      <c r="D54" s="105">
        <f>COUNTIF(Data!$AM$2:$AM$500,3)</f>
        <v>1</v>
      </c>
      <c r="E54" s="105">
        <f>COUNTIF(Data!$AM$2:$AM$500,4)</f>
        <v>5</v>
      </c>
      <c r="F54" s="105">
        <f>COUNTIF(Data!$AM$2:$AM$500,5)</f>
        <v>19</v>
      </c>
      <c r="G54" s="105">
        <f>COUNTIF(Data!$AM$2:$AM$500,9)</f>
        <v>5</v>
      </c>
      <c r="H54" s="106">
        <f t="shared" ref="H54:H56" si="3">((B54*1)+(C54*2)+(D54*3)+(E54*4)+(F54*5))/SUM(B54:F54)</f>
        <v>4.72</v>
      </c>
    </row>
    <row r="55" spans="1:8" ht="15">
      <c r="A55" s="104" t="s">
        <v>159</v>
      </c>
      <c r="B55" s="105">
        <f>COUNTIF(Data!$AN$2:$AN$500,1)</f>
        <v>0</v>
      </c>
      <c r="C55" s="105">
        <f>COUNTIF(Data!$AN$2:$AN$500,2)</f>
        <v>0</v>
      </c>
      <c r="D55" s="105">
        <f>COUNTIF(Data!$AN$2:$AN$500,3)</f>
        <v>2</v>
      </c>
      <c r="E55" s="105">
        <f>COUNTIF(Data!$AN$2:$AN$500,4)</f>
        <v>6</v>
      </c>
      <c r="F55" s="105">
        <f>COUNTIF(Data!$AN$2:$AN$500,5)</f>
        <v>17</v>
      </c>
      <c r="G55" s="105">
        <f>COUNTIF(Data!$AN$2:$AN$500,9)</f>
        <v>5</v>
      </c>
      <c r="H55" s="106">
        <f t="shared" si="3"/>
        <v>4.5999999999999996</v>
      </c>
    </row>
    <row r="56" spans="1:8" ht="15">
      <c r="A56" s="104" t="s">
        <v>160</v>
      </c>
      <c r="B56" s="105">
        <f>COUNTIF(Data!$AO$2:$AO$500,1)</f>
        <v>0</v>
      </c>
      <c r="C56" s="105">
        <f>COUNTIF(Data!$AO$2:$AO$500,2)</f>
        <v>1</v>
      </c>
      <c r="D56" s="105">
        <f>COUNTIF(Data!$AO$2:$AO$500,3)</f>
        <v>0</v>
      </c>
      <c r="E56" s="105">
        <f>COUNTIF(Data!$AO$2:$AO$500,4)</f>
        <v>5</v>
      </c>
      <c r="F56" s="105">
        <f>COUNTIF(Data!$AO$2:$AO$500,5)</f>
        <v>19</v>
      </c>
      <c r="G56" s="105">
        <f>COUNTIF(Data!$AO$2:$AO$500,9)</f>
        <v>5</v>
      </c>
      <c r="H56" s="106">
        <f t="shared" si="3"/>
        <v>4.68</v>
      </c>
    </row>
    <row r="57" spans="1:8">
      <c r="A57" s="115" t="s">
        <v>136</v>
      </c>
      <c r="B57" s="81"/>
      <c r="C57" s="81"/>
      <c r="D57" s="81"/>
      <c r="E57" s="81"/>
      <c r="F57" s="81"/>
      <c r="G57" s="81"/>
      <c r="H57" s="81">
        <f>(H51+H52+H54+H55+H56)/5</f>
        <v>4.5772727272727263</v>
      </c>
    </row>
    <row r="61" spans="1:8">
      <c r="A61" s="119" t="s">
        <v>215</v>
      </c>
      <c r="B61" s="97"/>
      <c r="C61" s="97"/>
      <c r="D61" s="97"/>
      <c r="E61" s="97"/>
      <c r="F61" s="97"/>
      <c r="G61" s="97"/>
      <c r="H61" s="98"/>
    </row>
    <row r="62" spans="1:8" ht="42.75">
      <c r="A62" s="100" t="s">
        <v>119</v>
      </c>
      <c r="B62" s="101">
        <v>1</v>
      </c>
      <c r="C62" s="101">
        <v>2</v>
      </c>
      <c r="D62" s="101">
        <v>3</v>
      </c>
      <c r="E62" s="101">
        <v>4</v>
      </c>
      <c r="F62" s="101">
        <v>5</v>
      </c>
      <c r="G62" s="101" t="s">
        <v>182</v>
      </c>
      <c r="H62" s="103" t="s">
        <v>64</v>
      </c>
    </row>
    <row r="63" spans="1:8" ht="30.75">
      <c r="A63" s="54" t="s">
        <v>162</v>
      </c>
      <c r="B63" s="105">
        <f>COUNTIF(Data!$AP$2:$AP$500,1)</f>
        <v>2</v>
      </c>
      <c r="C63" s="105">
        <f>COUNTIF(Data!$AP$2:$AP$500,2)</f>
        <v>0</v>
      </c>
      <c r="D63" s="105">
        <f>COUNTIF(Data!$AP$2:$AP$500,3)</f>
        <v>4</v>
      </c>
      <c r="E63" s="105">
        <f>COUNTIF(Data!$AP$2:$AP$500,4)</f>
        <v>8</v>
      </c>
      <c r="F63" s="105">
        <f>COUNTIF(Data!$AP$2:$AP$500,5)</f>
        <v>8</v>
      </c>
      <c r="G63" s="105">
        <f>COUNTIF(Data!$AP$2:$AP$500,9)</f>
        <v>8</v>
      </c>
      <c r="H63" s="106">
        <f t="shared" ref="H63:H66" si="4">((B63*1)+(C63*2)+(D63*3)+(E63*4)+(F63*5))/SUM(B63:F63)</f>
        <v>3.9090909090909092</v>
      </c>
    </row>
    <row r="64" spans="1:8" ht="30.75">
      <c r="A64" s="54" t="s">
        <v>163</v>
      </c>
      <c r="B64" s="105">
        <f>COUNTIF(Data!$AQ$2:$AQ$500,1)</f>
        <v>0</v>
      </c>
      <c r="C64" s="105">
        <f>COUNTIF(Data!$AQ$2:$AQ$500,2)</f>
        <v>1</v>
      </c>
      <c r="D64" s="105">
        <f>COUNTIF(Data!$AQ$2:$AQ$500,3)</f>
        <v>2</v>
      </c>
      <c r="E64" s="105">
        <f>COUNTIF(Data!$AQ$2:$AQ$500,4)</f>
        <v>4</v>
      </c>
      <c r="F64" s="105">
        <f>COUNTIF(Data!$AQ$2:$AQ$500,5)</f>
        <v>14</v>
      </c>
      <c r="G64" s="105">
        <f>COUNTIF(Data!$AQ$2:$AQ$500,9)</f>
        <v>9</v>
      </c>
      <c r="H64" s="106">
        <f t="shared" si="4"/>
        <v>4.4761904761904763</v>
      </c>
    </row>
    <row r="65" spans="1:8" ht="30.75">
      <c r="A65" s="54" t="s">
        <v>164</v>
      </c>
      <c r="B65" s="105">
        <f>COUNTIF(Data!$AR$2:$AR$500,1)</f>
        <v>0</v>
      </c>
      <c r="C65" s="105">
        <f>COUNTIF(Data!$AR$2:$AR$500,2)</f>
        <v>0</v>
      </c>
      <c r="D65" s="105">
        <f>COUNTIF(Data!$AR$2:$AR$500,3)</f>
        <v>3</v>
      </c>
      <c r="E65" s="105">
        <f>COUNTIF(Data!$AR$2:$AR$500,4)</f>
        <v>1</v>
      </c>
      <c r="F65" s="105">
        <f>COUNTIF(Data!$AR$2:$AR$500,5)</f>
        <v>17</v>
      </c>
      <c r="G65" s="105">
        <f>COUNTIF(Data!$AR$2:$AR$500,9)</f>
        <v>9</v>
      </c>
      <c r="H65" s="106">
        <f t="shared" si="4"/>
        <v>4.666666666666667</v>
      </c>
    </row>
    <row r="66" spans="1:8" ht="30.75">
      <c r="A66" s="54" t="s">
        <v>165</v>
      </c>
      <c r="B66" s="105">
        <f>COUNTIF(Data!$AS$2:$AS$500,1)</f>
        <v>0</v>
      </c>
      <c r="C66" s="105">
        <f>COUNTIF(Data!$AS$2:$AS$500,2)</f>
        <v>0</v>
      </c>
      <c r="D66" s="105">
        <f>COUNTIF(Data!$AS$2:$AS$500,3)</f>
        <v>1</v>
      </c>
      <c r="E66" s="105">
        <f>COUNTIF(Data!$AS$2:$AS$500,4)</f>
        <v>4</v>
      </c>
      <c r="F66" s="105">
        <f>COUNTIF(Data!$AS$2:$AS$500,5)</f>
        <v>14</v>
      </c>
      <c r="G66" s="105">
        <f>COUNTIF(Data!$AS$2:$AS$500,9)</f>
        <v>11</v>
      </c>
      <c r="H66" s="106">
        <f t="shared" si="4"/>
        <v>4.6842105263157894</v>
      </c>
    </row>
    <row r="67" spans="1:8">
      <c r="A67" s="115" t="s">
        <v>136</v>
      </c>
      <c r="B67" s="81"/>
      <c r="C67" s="81"/>
      <c r="D67" s="81"/>
      <c r="E67" s="81"/>
      <c r="F67" s="81"/>
      <c r="G67" s="81"/>
      <c r="H67" s="81">
        <f>(H63+H65+H66+H66)/4</f>
        <v>4.4860446570972883</v>
      </c>
    </row>
    <row r="71" spans="1:8">
      <c r="A71" s="119" t="s">
        <v>216</v>
      </c>
      <c r="B71" s="97"/>
      <c r="C71" s="97"/>
      <c r="D71" s="97"/>
      <c r="E71" s="97"/>
      <c r="F71" s="97"/>
      <c r="G71" s="97"/>
      <c r="H71" s="98"/>
    </row>
    <row r="72" spans="1:8" ht="42.75">
      <c r="A72" s="100" t="s">
        <v>119</v>
      </c>
      <c r="B72" s="101">
        <v>1</v>
      </c>
      <c r="C72" s="101">
        <v>2</v>
      </c>
      <c r="D72" s="101">
        <v>3</v>
      </c>
      <c r="E72" s="101">
        <v>4</v>
      </c>
      <c r="F72" s="101">
        <v>5</v>
      </c>
      <c r="G72" s="101" t="s">
        <v>182</v>
      </c>
      <c r="H72" s="103" t="s">
        <v>64</v>
      </c>
    </row>
    <row r="73" spans="1:8" ht="30.75">
      <c r="A73" s="122" t="s">
        <v>217</v>
      </c>
      <c r="B73" s="105"/>
      <c r="C73" s="105"/>
      <c r="D73" s="105"/>
      <c r="E73" s="105"/>
      <c r="F73" s="105"/>
      <c r="G73" s="105"/>
      <c r="H73" s="106"/>
    </row>
    <row r="74" spans="1:8" ht="30.75">
      <c r="A74" s="54" t="s">
        <v>167</v>
      </c>
      <c r="B74" s="105">
        <f>COUNTIF(Data!$AT$2:$AT$500,1)</f>
        <v>1</v>
      </c>
      <c r="C74" s="105">
        <f>COUNTIF(Data!$AT$2:$AT$500,2)</f>
        <v>1</v>
      </c>
      <c r="D74" s="105">
        <f>COUNTIF(Data!$AT$2:$AT$500,3)</f>
        <v>2</v>
      </c>
      <c r="E74" s="105">
        <f>COUNTIF(Data!$AT$2:$AT$500,4)</f>
        <v>5</v>
      </c>
      <c r="F74" s="105">
        <f>COUNTIF(Data!$AT$2:$AT$500,5)</f>
        <v>12</v>
      </c>
      <c r="G74" s="105">
        <f>COUNTIF(Data!$AT$2:$AT$500,9)</f>
        <v>9</v>
      </c>
      <c r="H74" s="106">
        <f t="shared" ref="H74:H78" si="5">((B74*1)+(C74*2)+(D74*3)+(E74*4)+(F74*5))/SUM(B74:F74)</f>
        <v>4.2380952380952381</v>
      </c>
    </row>
    <row r="75" spans="1:8">
      <c r="A75" s="54" t="s">
        <v>168</v>
      </c>
      <c r="B75" s="105">
        <f>COUNTIF(Data!$AU$2:$AU$500,1)</f>
        <v>0</v>
      </c>
      <c r="C75" s="105">
        <f>COUNTIF(Data!$AU$2:$AU$500,2)</f>
        <v>0</v>
      </c>
      <c r="D75" s="105">
        <f>COUNTIF(Data!$AU$2:$AU$500,3)</f>
        <v>2</v>
      </c>
      <c r="E75" s="105">
        <f>COUNTIF(Data!$AU$2:$AU$500,4)</f>
        <v>6</v>
      </c>
      <c r="F75" s="105">
        <f>COUNTIF(Data!$AU$2:$AU$500,5)</f>
        <v>13</v>
      </c>
      <c r="G75" s="105">
        <f>COUNTIF(Data!$AU$2:$AU$500,9)</f>
        <v>9</v>
      </c>
      <c r="H75" s="106">
        <f t="shared" si="5"/>
        <v>4.5238095238095237</v>
      </c>
    </row>
    <row r="76" spans="1:8">
      <c r="A76" s="54" t="s">
        <v>169</v>
      </c>
      <c r="B76" s="105">
        <f>COUNTIF(Data!$AV$2:$AV$500,1)</f>
        <v>0</v>
      </c>
      <c r="C76" s="105">
        <f>COUNTIF(Data!$AV$2:$AV$500,2)</f>
        <v>1</v>
      </c>
      <c r="D76" s="105">
        <f>COUNTIF(Data!$AV$2:$AV$500,3)</f>
        <v>1</v>
      </c>
      <c r="E76" s="105">
        <f>COUNTIF(Data!$AV$2:$AV$500,4)</f>
        <v>6</v>
      </c>
      <c r="F76" s="105">
        <f>COUNTIF(Data!$AV$2:$AV$500,5)</f>
        <v>13</v>
      </c>
      <c r="G76" s="105">
        <f>COUNTIF(Data!$AV$2:$AV$500,9)</f>
        <v>9</v>
      </c>
      <c r="H76" s="106">
        <f t="shared" si="5"/>
        <v>4.4761904761904763</v>
      </c>
    </row>
    <row r="77" spans="1:8">
      <c r="A77" s="54" t="s">
        <v>170</v>
      </c>
      <c r="B77" s="105">
        <f>COUNTIF(Data!$AW$2:$AW$500,1)</f>
        <v>0</v>
      </c>
      <c r="C77" s="105">
        <f>COUNTIF(Data!$AW$2:$AW$500,2)</f>
        <v>1</v>
      </c>
      <c r="D77" s="105">
        <f>COUNTIF(Data!$AW$2:$AW$500,3)</f>
        <v>1</v>
      </c>
      <c r="E77" s="105">
        <f>COUNTIF(Data!$AW$2:$AW$500,4)</f>
        <v>4</v>
      </c>
      <c r="F77" s="105">
        <f>COUNTIF(Data!$AW$2:$AW$500,5)</f>
        <v>15</v>
      </c>
      <c r="G77" s="105">
        <f>COUNTIF(Data!$AW$2:$AW$500,9)</f>
        <v>9</v>
      </c>
      <c r="H77" s="106">
        <f t="shared" si="5"/>
        <v>4.5714285714285712</v>
      </c>
    </row>
    <row r="78" spans="1:8">
      <c r="A78" s="54" t="s">
        <v>171</v>
      </c>
      <c r="B78" s="105">
        <f>COUNTIF(Data!$AX$2:$AX$500,1)</f>
        <v>0</v>
      </c>
      <c r="C78" s="105">
        <f>COUNTIF(Data!$AX$2:$AX$500,2)</f>
        <v>0</v>
      </c>
      <c r="D78" s="105">
        <f>COUNTIF(Data!$AX$2:$AX$500,3)</f>
        <v>1</v>
      </c>
      <c r="E78" s="105">
        <f>COUNTIF(Data!$AX$2:$AX$500,4)</f>
        <v>6</v>
      </c>
      <c r="F78" s="105">
        <f>COUNTIF(Data!$AX$2:$AX$500,5)</f>
        <v>14</v>
      </c>
      <c r="G78" s="105">
        <f>COUNTIF(Data!$AX$2:$AX$500,9)</f>
        <v>9</v>
      </c>
      <c r="H78" s="106">
        <f t="shared" si="5"/>
        <v>4.6190476190476186</v>
      </c>
    </row>
    <row r="79" spans="1:8">
      <c r="A79" s="115" t="s">
        <v>136</v>
      </c>
      <c r="B79" s="81"/>
      <c r="C79" s="81"/>
      <c r="D79" s="81"/>
      <c r="E79" s="81"/>
      <c r="F79" s="81"/>
      <c r="G79" s="81"/>
      <c r="H79" s="81">
        <f>(H74+H75+H76+H77+H78)/5</f>
        <v>4.4857142857142858</v>
      </c>
    </row>
    <row r="83" spans="1:8">
      <c r="A83" s="119" t="s">
        <v>218</v>
      </c>
      <c r="B83" s="97"/>
      <c r="C83" s="97"/>
      <c r="D83" s="97"/>
      <c r="E83" s="97"/>
      <c r="F83" s="97"/>
      <c r="G83" s="97"/>
      <c r="H83" s="98"/>
    </row>
    <row r="84" spans="1:8" ht="15">
      <c r="A84" s="100" t="s">
        <v>119</v>
      </c>
      <c r="B84" s="101">
        <v>1</v>
      </c>
      <c r="C84" s="101">
        <v>2</v>
      </c>
      <c r="D84" s="101" t="s">
        <v>182</v>
      </c>
    </row>
    <row r="85" spans="1:8">
      <c r="A85" s="54" t="s">
        <v>219</v>
      </c>
      <c r="B85" s="105">
        <f>COUNTIF(Data!$AY$2:$AY$500,1)</f>
        <v>16</v>
      </c>
      <c r="C85" s="105">
        <f>COUNTIF(Data!$AY$2:$AY$500,2)</f>
        <v>1</v>
      </c>
      <c r="D85" s="105">
        <f>COUNTIF(Data!$AY$2:$AY$500,9)</f>
        <v>13</v>
      </c>
      <c r="H85" s="56"/>
    </row>
    <row r="86" spans="1:8">
      <c r="A86" s="54" t="s">
        <v>220</v>
      </c>
      <c r="B86" s="105">
        <f>COUNTIF(Data!$AZ$2:$AZ$500,1)</f>
        <v>0</v>
      </c>
      <c r="C86" s="105">
        <f>COUNTIF(Data!$AZ$2:$AZ$500,2)</f>
        <v>17</v>
      </c>
      <c r="D86" s="105">
        <f>COUNTIF(Data!$AZ$2:$AZ$500,9)</f>
        <v>13</v>
      </c>
      <c r="H86" s="56"/>
    </row>
    <row r="87" spans="1:8">
      <c r="A87" s="54" t="s">
        <v>221</v>
      </c>
      <c r="B87" s="105">
        <f>COUNTIF(Data!$BA$2:$BA$500,1)</f>
        <v>17</v>
      </c>
      <c r="C87" s="105">
        <f>COUNTIF(Data!$BA$2:$BA$500,2)</f>
        <v>0</v>
      </c>
      <c r="D87" s="105">
        <f>COUNTIF(Data!$BA$2:$BA$500,9)</f>
        <v>13</v>
      </c>
      <c r="H87" s="56"/>
    </row>
    <row r="88" spans="1:8">
      <c r="A88" s="54" t="s">
        <v>222</v>
      </c>
      <c r="B88" s="105">
        <f>COUNTIF(Data!$BB$2:$BB$500,1)</f>
        <v>13</v>
      </c>
      <c r="C88" s="105">
        <f>COUNTIF(Data!$BB$2:$BB$500,2)</f>
        <v>1</v>
      </c>
      <c r="D88" s="105">
        <f>COUNTIF(Data!$BB$2:$BB$500,9)</f>
        <v>16</v>
      </c>
      <c r="H88" s="56"/>
    </row>
    <row r="90" spans="1:8" ht="42.75">
      <c r="A90" s="100" t="s">
        <v>119</v>
      </c>
      <c r="B90" s="101">
        <v>1</v>
      </c>
      <c r="C90" s="101">
        <v>2</v>
      </c>
      <c r="D90" s="101">
        <v>3</v>
      </c>
      <c r="E90" s="101">
        <v>4</v>
      </c>
      <c r="F90" s="101">
        <v>5</v>
      </c>
      <c r="G90" s="101" t="s">
        <v>182</v>
      </c>
      <c r="H90" s="103" t="s">
        <v>64</v>
      </c>
    </row>
    <row r="91" spans="1:8" ht="30.75">
      <c r="A91" s="54" t="s">
        <v>223</v>
      </c>
      <c r="B91" s="105">
        <f>COUNTIF(Data!$BC$2:$BC$500,1)</f>
        <v>2</v>
      </c>
      <c r="C91" s="105">
        <f>COUNTIF(Data!$BC$2:$BC$500,2)</f>
        <v>0</v>
      </c>
      <c r="D91" s="105">
        <f>COUNTIF(Data!$BC$2:$BC$500,3)</f>
        <v>3</v>
      </c>
      <c r="E91" s="105">
        <f>COUNTIF(Data!$BC$2:$BC$500,4)</f>
        <v>2</v>
      </c>
      <c r="F91" s="105">
        <f>COUNTIF(Data!$BC$2:$BC$500,5)</f>
        <v>13</v>
      </c>
      <c r="G91" s="105">
        <f>COUNTIF(Data!$BC$2:$BC$500,9)</f>
        <v>10</v>
      </c>
      <c r="H91" s="106">
        <f t="shared" ref="H91:H92" si="6">((B91*1)+(C91*2)+(D91*3)+(E91*4)+(F91*5))/SUM(B91:F91)</f>
        <v>4.2</v>
      </c>
    </row>
    <row r="92" spans="1:8" ht="30.75">
      <c r="A92" s="54" t="s">
        <v>224</v>
      </c>
      <c r="B92" s="105">
        <f>COUNTIF(Data!$BD$2:$BD$500,1)</f>
        <v>3</v>
      </c>
      <c r="C92" s="105">
        <f>COUNTIF(Data!$BD$2:$BD$500,2)</f>
        <v>0</v>
      </c>
      <c r="D92" s="105">
        <f>COUNTIF(Data!$BD$2:$BD$500,3)</f>
        <v>1</v>
      </c>
      <c r="E92" s="105">
        <f>COUNTIF(Data!$BD$2:$BD$500,4)</f>
        <v>4</v>
      </c>
      <c r="F92" s="105">
        <f>COUNTIF(Data!$BD$2:$BD$500,5)</f>
        <v>11</v>
      </c>
      <c r="G92" s="105">
        <f>COUNTIF(Data!$BD$2:$BD$500,9)</f>
        <v>11</v>
      </c>
      <c r="H92" s="106">
        <f t="shared" si="6"/>
        <v>4.0526315789473681</v>
      </c>
    </row>
    <row r="93" spans="1:8">
      <c r="A93" s="115" t="s">
        <v>136</v>
      </c>
      <c r="B93" s="81"/>
      <c r="C93" s="81"/>
      <c r="D93" s="81"/>
      <c r="E93" s="81"/>
      <c r="F93" s="81"/>
      <c r="G93" s="81"/>
      <c r="H93" s="81">
        <f>(H91+H92)/2</f>
        <v>4.1263157894736846</v>
      </c>
    </row>
    <row r="95" spans="1:8" ht="30">
      <c r="A95" s="123" t="s">
        <v>225</v>
      </c>
      <c r="B95" s="101"/>
    </row>
    <row r="96" spans="1:8">
      <c r="A96" s="54" t="s">
        <v>226</v>
      </c>
      <c r="B96" s="105">
        <f>SUM(Data!$BG$2:$BG$500,1)</f>
        <v>49</v>
      </c>
    </row>
    <row r="97" spans="1:2" ht="30.75">
      <c r="A97" s="54" t="s">
        <v>227</v>
      </c>
      <c r="B97" s="105">
        <f>SUM(Data!$BH$2:$BH$500,1)</f>
        <v>55</v>
      </c>
    </row>
    <row r="98" spans="1:2">
      <c r="A98" s="54" t="s">
        <v>228</v>
      </c>
      <c r="B98" s="105">
        <f>SUM(Data!$BI$2:$BI$500,1)</f>
        <v>134</v>
      </c>
    </row>
  </sheetData>
  <mergeCells count="2">
    <mergeCell ref="A43:C43"/>
    <mergeCell ref="A3:G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"/>
  <sheetViews>
    <sheetView workbookViewId="0"/>
  </sheetViews>
  <sheetFormatPr defaultColWidth="14.42578125" defaultRowHeight="15.75" customHeight="1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DI188"/>
  <sheetViews>
    <sheetView workbookViewId="0"/>
  </sheetViews>
  <sheetFormatPr defaultColWidth="14.42578125" defaultRowHeight="15.75" customHeight="1"/>
  <sheetData>
    <row r="1" spans="1:113" ht="12.75">
      <c r="A1" s="124" t="s">
        <v>229</v>
      </c>
      <c r="B1" s="125" t="s">
        <v>230</v>
      </c>
      <c r="C1" s="125" t="s">
        <v>231</v>
      </c>
      <c r="D1" s="125" t="s">
        <v>232</v>
      </c>
      <c r="E1" s="125" t="s">
        <v>233</v>
      </c>
      <c r="F1" s="125" t="s">
        <v>234</v>
      </c>
      <c r="G1" s="125" t="s">
        <v>27</v>
      </c>
      <c r="H1" s="125" t="s">
        <v>37</v>
      </c>
      <c r="I1" s="125" t="s">
        <v>235</v>
      </c>
      <c r="J1" s="125" t="s">
        <v>43</v>
      </c>
      <c r="K1" s="125" t="s">
        <v>54</v>
      </c>
      <c r="L1" s="125" t="s">
        <v>59</v>
      </c>
      <c r="M1" s="125" t="s">
        <v>236</v>
      </c>
      <c r="N1" s="125" t="s">
        <v>237</v>
      </c>
      <c r="O1" s="125" t="s">
        <v>238</v>
      </c>
      <c r="P1" s="125" t="s">
        <v>239</v>
      </c>
      <c r="Q1" s="125" t="s">
        <v>240</v>
      </c>
      <c r="R1" s="125" t="s">
        <v>241</v>
      </c>
      <c r="S1" s="125" t="s">
        <v>242</v>
      </c>
      <c r="T1" s="125" t="s">
        <v>243</v>
      </c>
      <c r="U1" s="125" t="s">
        <v>244</v>
      </c>
      <c r="V1" s="125" t="s">
        <v>245</v>
      </c>
      <c r="W1" s="125" t="s">
        <v>246</v>
      </c>
      <c r="X1" s="125" t="s">
        <v>247</v>
      </c>
      <c r="Y1" s="125" t="s">
        <v>248</v>
      </c>
      <c r="Z1" s="125" t="s">
        <v>249</v>
      </c>
      <c r="AA1" s="125" t="s">
        <v>250</v>
      </c>
      <c r="AB1" s="125" t="s">
        <v>251</v>
      </c>
      <c r="AC1" s="125" t="s">
        <v>252</v>
      </c>
      <c r="AD1" s="125" t="s">
        <v>253</v>
      </c>
      <c r="AE1" s="125" t="s">
        <v>254</v>
      </c>
      <c r="AF1" s="125" t="s">
        <v>255</v>
      </c>
      <c r="AG1" s="125" t="s">
        <v>256</v>
      </c>
      <c r="AH1" s="125" t="s">
        <v>257</v>
      </c>
      <c r="AI1" s="125" t="s">
        <v>258</v>
      </c>
      <c r="AJ1" s="125" t="s">
        <v>259</v>
      </c>
      <c r="AK1" s="125" t="s">
        <v>260</v>
      </c>
      <c r="AL1" s="125" t="s">
        <v>261</v>
      </c>
      <c r="AM1" s="125" t="s">
        <v>262</v>
      </c>
      <c r="AN1" s="125" t="s">
        <v>263</v>
      </c>
      <c r="AO1" s="125" t="s">
        <v>264</v>
      </c>
      <c r="AP1" s="125" t="s">
        <v>265</v>
      </c>
      <c r="AQ1" s="125" t="s">
        <v>266</v>
      </c>
      <c r="AR1" s="125" t="s">
        <v>267</v>
      </c>
      <c r="AS1" s="125" t="s">
        <v>268</v>
      </c>
      <c r="AT1" s="125" t="s">
        <v>269</v>
      </c>
      <c r="AU1" s="125" t="s">
        <v>270</v>
      </c>
      <c r="AV1" s="125" t="s">
        <v>271</v>
      </c>
      <c r="AW1" s="125" t="s">
        <v>272</v>
      </c>
      <c r="AX1" s="125" t="s">
        <v>273</v>
      </c>
      <c r="AY1" s="125" t="s">
        <v>274</v>
      </c>
      <c r="AZ1" s="125" t="s">
        <v>275</v>
      </c>
      <c r="BA1" s="125" t="s">
        <v>276</v>
      </c>
      <c r="BB1" s="125" t="s">
        <v>277</v>
      </c>
      <c r="BC1" s="125" t="s">
        <v>278</v>
      </c>
      <c r="BD1" s="125" t="s">
        <v>279</v>
      </c>
      <c r="BE1" s="125" t="s">
        <v>280</v>
      </c>
      <c r="BF1" s="125" t="s">
        <v>281</v>
      </c>
      <c r="BG1" s="125" t="s">
        <v>282</v>
      </c>
      <c r="BH1" s="125" t="s">
        <v>283</v>
      </c>
      <c r="BI1" s="125" t="s">
        <v>284</v>
      </c>
      <c r="BJ1" s="125" t="s">
        <v>285</v>
      </c>
      <c r="BK1" s="125" t="s">
        <v>286</v>
      </c>
      <c r="BL1" s="125" t="s">
        <v>287</v>
      </c>
      <c r="BM1" s="125" t="s">
        <v>288</v>
      </c>
      <c r="BN1" s="125" t="s">
        <v>289</v>
      </c>
      <c r="BO1" s="126" t="s">
        <v>290</v>
      </c>
      <c r="BP1" s="127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6"/>
      <c r="DD1" s="127"/>
      <c r="DE1" s="127"/>
      <c r="DF1" s="127"/>
      <c r="DG1" s="127"/>
      <c r="DH1" s="125"/>
      <c r="DI1" s="125"/>
    </row>
    <row r="2" spans="1:113" ht="12.75">
      <c r="A2" s="128">
        <v>43591.309774201392</v>
      </c>
      <c r="B2" s="125" t="s">
        <v>291</v>
      </c>
      <c r="C2" s="125" t="s">
        <v>11</v>
      </c>
      <c r="D2" s="125" t="s">
        <v>19</v>
      </c>
      <c r="E2" s="125" t="s">
        <v>20</v>
      </c>
      <c r="F2" s="125" t="s">
        <v>26</v>
      </c>
      <c r="G2" s="125" t="s">
        <v>29</v>
      </c>
      <c r="H2" s="125" t="s">
        <v>38</v>
      </c>
      <c r="I2" s="125" t="s">
        <v>44</v>
      </c>
      <c r="J2" s="125" t="s">
        <v>50</v>
      </c>
      <c r="K2" s="125" t="s">
        <v>292</v>
      </c>
      <c r="L2" s="125" t="s">
        <v>57</v>
      </c>
      <c r="M2" s="129">
        <v>3</v>
      </c>
      <c r="N2" s="129">
        <v>3</v>
      </c>
      <c r="O2" s="129">
        <v>1</v>
      </c>
      <c r="P2" s="129">
        <v>5</v>
      </c>
      <c r="Q2" s="129">
        <v>5</v>
      </c>
      <c r="R2" s="129">
        <v>4</v>
      </c>
      <c r="S2" s="129">
        <v>5</v>
      </c>
      <c r="T2" s="129">
        <v>2</v>
      </c>
      <c r="U2" s="129">
        <v>3</v>
      </c>
      <c r="V2" s="129">
        <v>3</v>
      </c>
      <c r="W2" s="129">
        <v>4</v>
      </c>
      <c r="X2" s="129">
        <v>2</v>
      </c>
      <c r="Y2" s="129">
        <v>3</v>
      </c>
      <c r="Z2" s="129">
        <v>5</v>
      </c>
      <c r="AA2" s="129">
        <v>3</v>
      </c>
      <c r="AB2" s="129">
        <v>4</v>
      </c>
      <c r="AC2" s="129">
        <v>3</v>
      </c>
      <c r="AD2" s="129">
        <v>3</v>
      </c>
      <c r="AE2" s="129">
        <v>4</v>
      </c>
      <c r="AF2" s="129">
        <v>4</v>
      </c>
      <c r="AG2" s="129">
        <v>3</v>
      </c>
      <c r="AH2" s="129">
        <v>4</v>
      </c>
      <c r="AI2" s="125" t="s">
        <v>17</v>
      </c>
      <c r="AJ2" s="129">
        <v>3</v>
      </c>
      <c r="AK2" s="129">
        <v>4</v>
      </c>
      <c r="AL2" s="129">
        <v>2</v>
      </c>
      <c r="AM2" s="129">
        <v>4</v>
      </c>
      <c r="AN2" s="129">
        <v>4</v>
      </c>
      <c r="AO2" s="129">
        <v>4</v>
      </c>
      <c r="AP2" s="129">
        <v>3</v>
      </c>
      <c r="AQ2" s="129">
        <v>2</v>
      </c>
      <c r="AR2" s="129">
        <v>3</v>
      </c>
      <c r="AS2" s="129">
        <v>5</v>
      </c>
      <c r="AT2" s="129">
        <v>4</v>
      </c>
      <c r="AU2" s="129">
        <v>4</v>
      </c>
      <c r="AV2" s="129">
        <v>4</v>
      </c>
      <c r="AW2" s="129">
        <v>4</v>
      </c>
      <c r="AX2" s="129">
        <v>4</v>
      </c>
      <c r="AY2" s="129">
        <v>9</v>
      </c>
      <c r="AZ2" s="129">
        <v>2</v>
      </c>
      <c r="BA2" s="129">
        <v>1</v>
      </c>
      <c r="BB2" s="129">
        <v>1</v>
      </c>
      <c r="BC2" s="129">
        <v>1</v>
      </c>
      <c r="BD2" s="129">
        <v>1</v>
      </c>
      <c r="BE2" s="125" t="s">
        <v>293</v>
      </c>
      <c r="BF2" s="125" t="s">
        <v>293</v>
      </c>
      <c r="BG2" s="125" t="s">
        <v>293</v>
      </c>
      <c r="BH2" s="130">
        <v>9</v>
      </c>
      <c r="BI2" s="129">
        <v>9</v>
      </c>
      <c r="BJ2" s="131" t="s">
        <v>294</v>
      </c>
      <c r="BK2" s="125" t="s">
        <v>206</v>
      </c>
      <c r="BL2" s="125" t="s">
        <v>20</v>
      </c>
      <c r="BM2" s="125" t="s">
        <v>294</v>
      </c>
      <c r="BN2" s="125"/>
      <c r="BO2" s="125"/>
      <c r="BP2" s="129"/>
      <c r="BQ2" s="129"/>
      <c r="BR2" s="125"/>
      <c r="BS2" s="129"/>
      <c r="BT2" s="129"/>
      <c r="BU2" s="125"/>
      <c r="BV2" s="125"/>
      <c r="BW2" s="125"/>
      <c r="BX2" s="125"/>
      <c r="BY2" s="125"/>
      <c r="BZ2" s="125"/>
      <c r="CA2" s="125"/>
      <c r="CB2" s="125"/>
      <c r="CC2" s="125"/>
      <c r="CD2" s="125"/>
      <c r="CE2" s="125"/>
      <c r="CF2" s="125"/>
      <c r="CG2" s="125"/>
      <c r="CH2" s="125"/>
      <c r="CI2" s="125"/>
      <c r="CJ2" s="125"/>
      <c r="CK2" s="125"/>
      <c r="CL2" s="125"/>
      <c r="CM2" s="125"/>
      <c r="CN2" s="129"/>
      <c r="CO2" s="125"/>
      <c r="CP2" s="125"/>
      <c r="CQ2" s="125"/>
      <c r="CR2" s="125"/>
      <c r="CS2" s="125"/>
      <c r="CT2" s="125"/>
      <c r="CU2" s="125"/>
      <c r="CV2" s="125"/>
      <c r="CW2" s="125"/>
      <c r="CX2" s="125"/>
      <c r="CY2" s="125"/>
      <c r="CZ2" s="125"/>
      <c r="DA2" s="125"/>
      <c r="DB2" s="125"/>
      <c r="DC2" s="125"/>
      <c r="DD2" s="125"/>
      <c r="DE2" s="125"/>
      <c r="DF2" s="125"/>
      <c r="DG2" s="125"/>
      <c r="DH2" s="125"/>
      <c r="DI2" s="125"/>
    </row>
    <row r="3" spans="1:113" ht="13.5" customHeight="1">
      <c r="A3" s="128">
        <v>43591.312260543986</v>
      </c>
      <c r="B3" s="125" t="s">
        <v>13</v>
      </c>
      <c r="C3" s="125" t="s">
        <v>11</v>
      </c>
      <c r="D3" s="125" t="s">
        <v>295</v>
      </c>
      <c r="E3" s="125" t="s">
        <v>20</v>
      </c>
      <c r="F3" s="125" t="s">
        <v>24</v>
      </c>
      <c r="G3" s="125" t="s">
        <v>29</v>
      </c>
      <c r="H3" s="126" t="s">
        <v>40</v>
      </c>
      <c r="I3" s="125"/>
      <c r="J3" s="125" t="s">
        <v>50</v>
      </c>
      <c r="K3" s="125" t="s">
        <v>292</v>
      </c>
      <c r="L3" s="125" t="s">
        <v>56</v>
      </c>
      <c r="M3" s="129">
        <v>9</v>
      </c>
      <c r="N3" s="129">
        <v>3</v>
      </c>
      <c r="O3" s="129">
        <v>2</v>
      </c>
      <c r="P3" s="129">
        <v>5</v>
      </c>
      <c r="Q3" s="129">
        <v>5</v>
      </c>
      <c r="R3" s="129">
        <v>9</v>
      </c>
      <c r="S3" s="129">
        <v>5</v>
      </c>
      <c r="T3" s="129">
        <v>5</v>
      </c>
      <c r="U3" s="129">
        <v>5</v>
      </c>
      <c r="V3" s="129">
        <v>5</v>
      </c>
      <c r="W3" s="129">
        <v>5</v>
      </c>
      <c r="X3" s="129">
        <v>1</v>
      </c>
      <c r="Y3" s="129">
        <v>4</v>
      </c>
      <c r="Z3" s="129">
        <v>5</v>
      </c>
      <c r="AA3" s="129">
        <v>4</v>
      </c>
      <c r="AB3" s="129">
        <v>5</v>
      </c>
      <c r="AC3" s="129">
        <v>5</v>
      </c>
      <c r="AD3" s="129">
        <v>4</v>
      </c>
      <c r="AE3" s="129">
        <v>5</v>
      </c>
      <c r="AF3" s="129">
        <v>5</v>
      </c>
      <c r="AG3" s="129">
        <v>5</v>
      </c>
      <c r="AH3" s="129">
        <v>5</v>
      </c>
      <c r="AI3" s="125" t="s">
        <v>20</v>
      </c>
      <c r="AJ3" s="129">
        <v>9</v>
      </c>
      <c r="AK3" s="129">
        <v>5</v>
      </c>
      <c r="AL3" s="129">
        <v>1</v>
      </c>
      <c r="AM3" s="129">
        <v>5</v>
      </c>
      <c r="AN3" s="129">
        <v>5</v>
      </c>
      <c r="AO3" s="129">
        <v>5</v>
      </c>
      <c r="AP3" s="129">
        <v>4</v>
      </c>
      <c r="AQ3" s="129">
        <v>3</v>
      </c>
      <c r="AR3" s="129">
        <v>5</v>
      </c>
      <c r="AS3" s="129">
        <v>5</v>
      </c>
      <c r="AT3" s="129">
        <v>1</v>
      </c>
      <c r="AU3" s="129">
        <v>5</v>
      </c>
      <c r="AV3" s="129">
        <v>5</v>
      </c>
      <c r="AW3" s="129">
        <v>5</v>
      </c>
      <c r="AX3" s="129">
        <v>5</v>
      </c>
      <c r="AY3" s="129">
        <v>1</v>
      </c>
      <c r="AZ3" s="129">
        <v>2</v>
      </c>
      <c r="BA3" s="129">
        <v>1</v>
      </c>
      <c r="BB3" s="129">
        <v>9</v>
      </c>
      <c r="BC3" s="129">
        <v>5</v>
      </c>
      <c r="BD3" s="129">
        <v>5</v>
      </c>
      <c r="BE3" s="129">
        <v>2</v>
      </c>
      <c r="BF3" s="125" t="s">
        <v>293</v>
      </c>
      <c r="BG3" s="129">
        <v>2</v>
      </c>
      <c r="BH3" s="131" t="s">
        <v>296</v>
      </c>
      <c r="BI3" s="129">
        <v>2</v>
      </c>
      <c r="BJ3" s="131" t="s">
        <v>193</v>
      </c>
      <c r="BK3" s="125" t="s">
        <v>198</v>
      </c>
      <c r="BL3" s="125" t="s">
        <v>17</v>
      </c>
      <c r="BM3" s="125" t="s">
        <v>20</v>
      </c>
      <c r="BN3" s="125"/>
      <c r="BO3" s="125"/>
      <c r="BP3" s="129"/>
      <c r="BQ3" s="129"/>
      <c r="BR3" s="125"/>
      <c r="BS3" s="129"/>
      <c r="BT3" s="129"/>
      <c r="BU3" s="125"/>
      <c r="BV3" s="125"/>
      <c r="BW3" s="125"/>
      <c r="BX3" s="125"/>
      <c r="BY3" s="125"/>
      <c r="BZ3" s="129"/>
      <c r="CA3" s="125"/>
      <c r="CB3" s="129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9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</row>
    <row r="4" spans="1:113" ht="12.75">
      <c r="A4" s="128">
        <v>43591.313736261574</v>
      </c>
      <c r="B4" s="125" t="s">
        <v>297</v>
      </c>
      <c r="C4" s="125" t="s">
        <v>11</v>
      </c>
      <c r="D4" s="125" t="s">
        <v>16</v>
      </c>
      <c r="E4" s="125" t="s">
        <v>20</v>
      </c>
      <c r="F4" s="125" t="s">
        <v>24</v>
      </c>
      <c r="G4" s="125" t="s">
        <v>30</v>
      </c>
      <c r="H4" s="125" t="s">
        <v>38</v>
      </c>
      <c r="I4" s="125" t="s">
        <v>44</v>
      </c>
      <c r="J4" s="125" t="s">
        <v>45</v>
      </c>
      <c r="K4" s="125" t="s">
        <v>298</v>
      </c>
      <c r="L4" s="125" t="s">
        <v>55</v>
      </c>
      <c r="M4" s="129">
        <v>5</v>
      </c>
      <c r="N4" s="129">
        <v>3</v>
      </c>
      <c r="O4" s="129">
        <v>2</v>
      </c>
      <c r="P4" s="129">
        <v>5</v>
      </c>
      <c r="Q4" s="129">
        <v>5</v>
      </c>
      <c r="R4" s="129">
        <v>9</v>
      </c>
      <c r="S4" s="129">
        <v>5</v>
      </c>
      <c r="T4" s="129">
        <v>5</v>
      </c>
      <c r="U4" s="129">
        <v>5</v>
      </c>
      <c r="V4" s="129">
        <v>5</v>
      </c>
      <c r="W4" s="129">
        <v>5</v>
      </c>
      <c r="X4" s="129">
        <v>4</v>
      </c>
      <c r="Y4" s="129">
        <v>5</v>
      </c>
      <c r="Z4" s="129">
        <v>5</v>
      </c>
      <c r="AA4" s="129">
        <v>5</v>
      </c>
      <c r="AB4" s="129">
        <v>5</v>
      </c>
      <c r="AC4" s="129">
        <v>5</v>
      </c>
      <c r="AD4" s="129">
        <v>5</v>
      </c>
      <c r="AE4" s="129">
        <v>5</v>
      </c>
      <c r="AF4" s="129">
        <v>5</v>
      </c>
      <c r="AG4" s="129">
        <v>5</v>
      </c>
      <c r="AH4" s="129">
        <v>5</v>
      </c>
      <c r="AI4" s="125" t="s">
        <v>20</v>
      </c>
      <c r="AJ4" s="129">
        <v>9</v>
      </c>
      <c r="AK4" s="129">
        <v>9</v>
      </c>
      <c r="AL4" s="130">
        <v>9</v>
      </c>
      <c r="AM4" s="129">
        <v>9</v>
      </c>
      <c r="AN4" s="129">
        <v>9</v>
      </c>
      <c r="AO4" s="129">
        <v>9</v>
      </c>
      <c r="AP4" s="129">
        <v>9</v>
      </c>
      <c r="AQ4" s="129">
        <v>9</v>
      </c>
      <c r="AR4" s="129">
        <v>9</v>
      </c>
      <c r="AS4" s="129">
        <v>9</v>
      </c>
      <c r="AT4" s="129">
        <v>9</v>
      </c>
      <c r="AU4" s="129">
        <v>9</v>
      </c>
      <c r="AV4" s="129">
        <v>9</v>
      </c>
      <c r="AW4" s="129">
        <v>9</v>
      </c>
      <c r="AX4" s="129">
        <v>9</v>
      </c>
      <c r="AY4" s="129">
        <v>9</v>
      </c>
      <c r="AZ4" s="129">
        <v>9</v>
      </c>
      <c r="BA4" s="129">
        <v>9</v>
      </c>
      <c r="BB4" s="129">
        <v>9</v>
      </c>
      <c r="BC4" s="129">
        <v>9</v>
      </c>
      <c r="BD4" s="129">
        <v>9</v>
      </c>
      <c r="BE4" s="125" t="s">
        <v>293</v>
      </c>
      <c r="BF4" s="125" t="s">
        <v>293</v>
      </c>
      <c r="BG4" s="125" t="s">
        <v>293</v>
      </c>
      <c r="BH4" s="125"/>
      <c r="BI4" s="129">
        <v>1</v>
      </c>
      <c r="BJ4" s="131" t="s">
        <v>195</v>
      </c>
      <c r="BK4" s="125" t="s">
        <v>294</v>
      </c>
      <c r="BL4" s="125" t="s">
        <v>20</v>
      </c>
      <c r="BM4" s="125" t="s">
        <v>294</v>
      </c>
      <c r="BN4" s="125"/>
      <c r="BO4" s="125"/>
      <c r="BP4" s="129"/>
      <c r="BQ4" s="129"/>
      <c r="BR4" s="125"/>
      <c r="BS4" s="129"/>
      <c r="BT4" s="129"/>
      <c r="BU4" s="125"/>
      <c r="BV4" s="125"/>
      <c r="BW4" s="125"/>
      <c r="BX4" s="125"/>
      <c r="BY4" s="125"/>
      <c r="BZ4" s="129"/>
      <c r="CA4" s="125"/>
      <c r="CB4" s="129"/>
      <c r="CC4" s="125"/>
      <c r="CD4" s="125"/>
      <c r="CE4" s="125"/>
      <c r="CF4" s="125"/>
      <c r="CG4" s="125"/>
      <c r="CH4" s="125"/>
      <c r="CI4" s="125"/>
      <c r="CJ4" s="125"/>
      <c r="CK4" s="125"/>
      <c r="CL4" s="125"/>
      <c r="CM4" s="125"/>
      <c r="CN4" s="129"/>
      <c r="CO4" s="125"/>
      <c r="CP4" s="125"/>
      <c r="CQ4" s="125"/>
      <c r="CR4" s="125"/>
      <c r="CS4" s="125"/>
      <c r="CT4" s="125"/>
      <c r="CU4" s="125"/>
      <c r="CV4" s="125"/>
      <c r="CW4" s="125"/>
      <c r="CX4" s="125"/>
      <c r="CY4" s="125"/>
      <c r="CZ4" s="125"/>
      <c r="DA4" s="125"/>
      <c r="DB4" s="125"/>
      <c r="DC4" s="125"/>
      <c r="DD4" s="125"/>
      <c r="DE4" s="125"/>
      <c r="DF4" s="125"/>
      <c r="DG4" s="125"/>
      <c r="DH4" s="125"/>
      <c r="DI4" s="125"/>
    </row>
    <row r="5" spans="1:113" ht="12.75">
      <c r="A5" s="128">
        <v>43591.315240023148</v>
      </c>
      <c r="B5" s="125" t="s">
        <v>297</v>
      </c>
      <c r="C5" s="125" t="s">
        <v>11</v>
      </c>
      <c r="D5" s="125" t="s">
        <v>16</v>
      </c>
      <c r="E5" s="125" t="s">
        <v>20</v>
      </c>
      <c r="F5" s="125" t="s">
        <v>24</v>
      </c>
      <c r="G5" s="125" t="s">
        <v>31</v>
      </c>
      <c r="H5" s="125" t="s">
        <v>38</v>
      </c>
      <c r="I5" s="125" t="s">
        <v>49</v>
      </c>
      <c r="J5" s="125" t="s">
        <v>50</v>
      </c>
      <c r="K5" s="125" t="s">
        <v>298</v>
      </c>
      <c r="L5" s="125" t="s">
        <v>55</v>
      </c>
      <c r="M5" s="129">
        <v>3</v>
      </c>
      <c r="N5" s="129">
        <v>5</v>
      </c>
      <c r="O5" s="129">
        <v>4</v>
      </c>
      <c r="P5" s="129">
        <v>5</v>
      </c>
      <c r="Q5" s="129">
        <v>5</v>
      </c>
      <c r="R5" s="129">
        <v>4</v>
      </c>
      <c r="S5" s="129">
        <v>5</v>
      </c>
      <c r="T5" s="129">
        <v>1</v>
      </c>
      <c r="U5" s="129">
        <v>5</v>
      </c>
      <c r="V5" s="129">
        <v>5</v>
      </c>
      <c r="W5" s="129">
        <v>5</v>
      </c>
      <c r="X5" s="129">
        <v>1</v>
      </c>
      <c r="Y5" s="129">
        <v>5</v>
      </c>
      <c r="Z5" s="129">
        <v>5</v>
      </c>
      <c r="AA5" s="129">
        <v>3</v>
      </c>
      <c r="AB5" s="129">
        <v>4</v>
      </c>
      <c r="AC5" s="129">
        <v>5</v>
      </c>
      <c r="AD5" s="129">
        <v>5</v>
      </c>
      <c r="AE5" s="129">
        <v>5</v>
      </c>
      <c r="AF5" s="129">
        <v>5</v>
      </c>
      <c r="AG5" s="129">
        <v>5</v>
      </c>
      <c r="AH5" s="129">
        <v>2</v>
      </c>
      <c r="AI5" s="125" t="s">
        <v>20</v>
      </c>
      <c r="AJ5" s="129">
        <v>5</v>
      </c>
      <c r="AK5" s="129">
        <v>9</v>
      </c>
      <c r="AL5" s="130">
        <v>9</v>
      </c>
      <c r="AM5" s="129">
        <v>9</v>
      </c>
      <c r="AN5" s="129">
        <v>9</v>
      </c>
      <c r="AO5" s="129">
        <v>9</v>
      </c>
      <c r="AP5" s="129">
        <v>9</v>
      </c>
      <c r="AQ5" s="129">
        <v>9</v>
      </c>
      <c r="AR5" s="129">
        <v>9</v>
      </c>
      <c r="AS5" s="129">
        <v>9</v>
      </c>
      <c r="AT5" s="129">
        <v>9</v>
      </c>
      <c r="AU5" s="129">
        <v>9</v>
      </c>
      <c r="AV5" s="129">
        <v>9</v>
      </c>
      <c r="AW5" s="129">
        <v>9</v>
      </c>
      <c r="AX5" s="129">
        <v>9</v>
      </c>
      <c r="AY5" s="129">
        <v>9</v>
      </c>
      <c r="AZ5" s="129">
        <v>9</v>
      </c>
      <c r="BA5" s="129">
        <v>9</v>
      </c>
      <c r="BB5" s="129">
        <v>9</v>
      </c>
      <c r="BC5" s="129">
        <v>9</v>
      </c>
      <c r="BD5" s="129">
        <v>9</v>
      </c>
      <c r="BE5" s="125" t="s">
        <v>293</v>
      </c>
      <c r="BF5" s="125" t="s">
        <v>293</v>
      </c>
      <c r="BG5" s="125" t="s">
        <v>293</v>
      </c>
      <c r="BH5" s="125"/>
      <c r="BI5" s="129">
        <v>2</v>
      </c>
      <c r="BJ5" s="125" t="s">
        <v>195</v>
      </c>
      <c r="BK5" s="125" t="s">
        <v>198</v>
      </c>
      <c r="BL5" s="125" t="s">
        <v>17</v>
      </c>
      <c r="BM5" s="125" t="s">
        <v>20</v>
      </c>
      <c r="BN5" s="125"/>
      <c r="BO5" s="125"/>
      <c r="BP5" s="129"/>
      <c r="BQ5" s="129"/>
      <c r="BR5" s="125"/>
      <c r="BS5" s="129"/>
      <c r="BT5" s="129"/>
      <c r="BU5" s="125"/>
      <c r="BV5" s="125"/>
      <c r="BW5" s="125"/>
      <c r="BX5" s="125"/>
      <c r="BY5" s="125"/>
      <c r="BZ5" s="129"/>
      <c r="CA5" s="125"/>
      <c r="CB5" s="125"/>
      <c r="CC5" s="125"/>
      <c r="CD5" s="125"/>
      <c r="CE5" s="125"/>
      <c r="CF5" s="125"/>
      <c r="CG5" s="125"/>
      <c r="CH5" s="125"/>
      <c r="CI5" s="125"/>
      <c r="CJ5" s="125"/>
      <c r="CK5" s="125"/>
      <c r="CL5" s="125"/>
      <c r="CM5" s="125"/>
      <c r="CN5" s="129"/>
      <c r="CO5" s="125"/>
      <c r="CP5" s="125"/>
      <c r="CQ5" s="125"/>
      <c r="CR5" s="125"/>
      <c r="CS5" s="125"/>
      <c r="CT5" s="125"/>
      <c r="CU5" s="125"/>
      <c r="CV5" s="125"/>
      <c r="CW5" s="125"/>
      <c r="CX5" s="125"/>
      <c r="CY5" s="125"/>
      <c r="CZ5" s="125"/>
      <c r="DA5" s="125"/>
      <c r="DB5" s="125"/>
      <c r="DC5" s="125"/>
      <c r="DD5" s="125"/>
      <c r="DE5" s="125"/>
      <c r="DF5" s="125"/>
      <c r="DG5" s="125"/>
      <c r="DH5" s="125"/>
      <c r="DI5" s="125"/>
    </row>
    <row r="6" spans="1:113" ht="12.75">
      <c r="A6" s="128">
        <v>43591.316564004628</v>
      </c>
      <c r="B6" s="125" t="s">
        <v>297</v>
      </c>
      <c r="C6" s="125" t="s">
        <v>11</v>
      </c>
      <c r="D6" s="125" t="s">
        <v>16</v>
      </c>
      <c r="E6" s="125" t="s">
        <v>20</v>
      </c>
      <c r="F6" s="125" t="s">
        <v>26</v>
      </c>
      <c r="G6" s="125" t="s">
        <v>29</v>
      </c>
      <c r="H6" s="125" t="s">
        <v>40</v>
      </c>
      <c r="I6" s="125" t="s">
        <v>44</v>
      </c>
      <c r="J6" s="125" t="s">
        <v>45</v>
      </c>
      <c r="K6" s="125" t="s">
        <v>298</v>
      </c>
      <c r="L6" s="125" t="s">
        <v>55</v>
      </c>
      <c r="M6" s="129">
        <v>5</v>
      </c>
      <c r="N6" s="129">
        <v>3</v>
      </c>
      <c r="O6" s="129">
        <v>1</v>
      </c>
      <c r="P6" s="129">
        <v>5</v>
      </c>
      <c r="Q6" s="129">
        <v>5</v>
      </c>
      <c r="R6" s="129">
        <v>9</v>
      </c>
      <c r="S6" s="129">
        <v>5</v>
      </c>
      <c r="T6" s="129">
        <v>5</v>
      </c>
      <c r="U6" s="129">
        <v>5</v>
      </c>
      <c r="V6" s="129">
        <v>5</v>
      </c>
      <c r="W6" s="129">
        <v>5</v>
      </c>
      <c r="X6" s="129">
        <v>2</v>
      </c>
      <c r="Y6" s="129">
        <v>5</v>
      </c>
      <c r="Z6" s="129">
        <v>5</v>
      </c>
      <c r="AA6" s="129">
        <v>5</v>
      </c>
      <c r="AB6" s="129">
        <v>5</v>
      </c>
      <c r="AC6" s="129">
        <v>5</v>
      </c>
      <c r="AD6" s="129">
        <v>5</v>
      </c>
      <c r="AE6" s="129">
        <v>5</v>
      </c>
      <c r="AF6" s="129">
        <v>5</v>
      </c>
      <c r="AG6" s="129">
        <v>5</v>
      </c>
      <c r="AH6" s="129">
        <v>5</v>
      </c>
      <c r="AI6" s="125" t="s">
        <v>20</v>
      </c>
      <c r="AJ6" s="129">
        <v>9</v>
      </c>
      <c r="AK6" s="129">
        <v>9</v>
      </c>
      <c r="AL6" s="130">
        <v>9</v>
      </c>
      <c r="AM6" s="129">
        <v>9</v>
      </c>
      <c r="AN6" s="129">
        <v>9</v>
      </c>
      <c r="AO6" s="129">
        <v>9</v>
      </c>
      <c r="AP6" s="129">
        <v>9</v>
      </c>
      <c r="AQ6" s="129">
        <v>9</v>
      </c>
      <c r="AR6" s="129">
        <v>9</v>
      </c>
      <c r="AS6" s="129">
        <v>9</v>
      </c>
      <c r="AT6" s="129">
        <v>9</v>
      </c>
      <c r="AU6" s="129">
        <v>9</v>
      </c>
      <c r="AV6" s="129">
        <v>9</v>
      </c>
      <c r="AW6" s="129">
        <v>9</v>
      </c>
      <c r="AX6" s="129">
        <v>9</v>
      </c>
      <c r="AY6" s="129">
        <v>9</v>
      </c>
      <c r="AZ6" s="129">
        <v>9</v>
      </c>
      <c r="BA6" s="129">
        <v>9</v>
      </c>
      <c r="BB6" s="129">
        <v>9</v>
      </c>
      <c r="BC6" s="129">
        <v>9</v>
      </c>
      <c r="BD6" s="129">
        <v>9</v>
      </c>
      <c r="BE6" s="125" t="s">
        <v>293</v>
      </c>
      <c r="BF6" s="125" t="s">
        <v>293</v>
      </c>
      <c r="BG6" s="125" t="s">
        <v>293</v>
      </c>
      <c r="BH6" s="125"/>
      <c r="BI6" s="129">
        <v>9</v>
      </c>
      <c r="BJ6" s="125" t="s">
        <v>195</v>
      </c>
      <c r="BK6" s="125" t="s">
        <v>294</v>
      </c>
      <c r="BL6" s="125" t="s">
        <v>20</v>
      </c>
      <c r="BM6" s="125" t="s">
        <v>294</v>
      </c>
      <c r="BN6" s="125"/>
      <c r="BO6" s="125"/>
      <c r="BP6" s="129"/>
      <c r="BQ6" s="129"/>
      <c r="BR6" s="125"/>
      <c r="BS6" s="129"/>
      <c r="BT6" s="129"/>
      <c r="BU6" s="125"/>
      <c r="BV6" s="125"/>
      <c r="BW6" s="125"/>
      <c r="BX6" s="125"/>
      <c r="BY6" s="125"/>
      <c r="BZ6" s="129"/>
      <c r="CA6" s="125"/>
      <c r="CB6" s="129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9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</row>
    <row r="7" spans="1:113" ht="12.75">
      <c r="A7" s="128">
        <v>43591.318116909722</v>
      </c>
      <c r="B7" s="125" t="s">
        <v>13</v>
      </c>
      <c r="C7" s="125" t="s">
        <v>11</v>
      </c>
      <c r="D7" s="125" t="s">
        <v>16</v>
      </c>
      <c r="E7" s="125" t="s">
        <v>20</v>
      </c>
      <c r="F7" s="125" t="s">
        <v>26</v>
      </c>
      <c r="G7" s="125" t="s">
        <v>29</v>
      </c>
      <c r="H7" s="125" t="s">
        <v>40</v>
      </c>
      <c r="I7" s="125" t="s">
        <v>49</v>
      </c>
      <c r="J7" s="125" t="s">
        <v>50</v>
      </c>
      <c r="K7" s="125" t="s">
        <v>292</v>
      </c>
      <c r="L7" s="125" t="s">
        <v>56</v>
      </c>
      <c r="M7" s="129">
        <v>4</v>
      </c>
      <c r="N7" s="129">
        <v>1</v>
      </c>
      <c r="O7" s="129">
        <v>1</v>
      </c>
      <c r="P7" s="129">
        <v>3</v>
      </c>
      <c r="Q7" s="129">
        <v>3</v>
      </c>
      <c r="R7" s="129">
        <v>9</v>
      </c>
      <c r="S7" s="129">
        <v>5</v>
      </c>
      <c r="T7" s="129">
        <v>2</v>
      </c>
      <c r="U7" s="129">
        <v>4</v>
      </c>
      <c r="V7" s="129">
        <v>4</v>
      </c>
      <c r="W7" s="129">
        <v>4</v>
      </c>
      <c r="X7" s="129">
        <v>1</v>
      </c>
      <c r="Y7" s="129">
        <v>3</v>
      </c>
      <c r="Z7" s="129">
        <v>3</v>
      </c>
      <c r="AA7" s="129">
        <v>4</v>
      </c>
      <c r="AB7" s="129">
        <v>3</v>
      </c>
      <c r="AC7" s="129">
        <v>4</v>
      </c>
      <c r="AD7" s="129">
        <v>3</v>
      </c>
      <c r="AE7" s="129">
        <v>4</v>
      </c>
      <c r="AF7" s="129">
        <v>4</v>
      </c>
      <c r="AG7" s="129">
        <v>4</v>
      </c>
      <c r="AH7" s="129">
        <v>3</v>
      </c>
      <c r="AI7" s="125" t="s">
        <v>20</v>
      </c>
      <c r="AJ7" s="129">
        <v>9</v>
      </c>
      <c r="AK7" s="129">
        <v>4</v>
      </c>
      <c r="AL7" s="130">
        <v>2</v>
      </c>
      <c r="AM7" s="129">
        <v>4</v>
      </c>
      <c r="AN7" s="129">
        <v>4</v>
      </c>
      <c r="AO7" s="129">
        <v>4</v>
      </c>
      <c r="AP7" s="129">
        <v>4</v>
      </c>
      <c r="AQ7" s="129">
        <v>5</v>
      </c>
      <c r="AR7" s="129">
        <v>5</v>
      </c>
      <c r="AS7" s="129">
        <v>4</v>
      </c>
      <c r="AT7" s="129">
        <v>4</v>
      </c>
      <c r="AU7" s="129">
        <v>4</v>
      </c>
      <c r="AV7" s="129">
        <v>4</v>
      </c>
      <c r="AW7" s="129">
        <v>4</v>
      </c>
      <c r="AX7" s="129">
        <v>4</v>
      </c>
      <c r="AY7" s="129">
        <v>1</v>
      </c>
      <c r="AZ7" s="129">
        <v>2</v>
      </c>
      <c r="BA7" s="129">
        <v>1</v>
      </c>
      <c r="BB7" s="129">
        <v>9</v>
      </c>
      <c r="BC7" s="129">
        <v>3</v>
      </c>
      <c r="BD7" s="129">
        <v>4</v>
      </c>
      <c r="BE7" s="129">
        <v>2</v>
      </c>
      <c r="BF7" s="129">
        <v>0</v>
      </c>
      <c r="BG7" s="129">
        <v>3</v>
      </c>
      <c r="BH7" s="125"/>
      <c r="BI7" s="129">
        <v>1</v>
      </c>
      <c r="BJ7" s="125" t="s">
        <v>194</v>
      </c>
      <c r="BK7" s="125" t="s">
        <v>206</v>
      </c>
      <c r="BL7" s="125" t="s">
        <v>20</v>
      </c>
      <c r="BM7" s="125" t="s">
        <v>20</v>
      </c>
      <c r="BN7" s="125"/>
      <c r="BO7" s="125"/>
      <c r="BP7" s="129"/>
      <c r="BQ7" s="129"/>
      <c r="BR7" s="125"/>
      <c r="BS7" s="129"/>
      <c r="BT7" s="129"/>
      <c r="BU7" s="125"/>
      <c r="BV7" s="125"/>
      <c r="BW7" s="125"/>
      <c r="BX7" s="125"/>
      <c r="BY7" s="125"/>
      <c r="BZ7" s="129"/>
      <c r="CA7" s="125"/>
      <c r="CB7" s="129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9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</row>
    <row r="8" spans="1:113" ht="13.5" customHeight="1">
      <c r="A8" s="128">
        <v>43591.327403298608</v>
      </c>
      <c r="B8" s="125" t="s">
        <v>297</v>
      </c>
      <c r="C8" s="125" t="s">
        <v>11</v>
      </c>
      <c r="D8" s="125" t="s">
        <v>19</v>
      </c>
      <c r="E8" s="125" t="s">
        <v>20</v>
      </c>
      <c r="F8" s="125" t="s">
        <v>24</v>
      </c>
      <c r="G8" s="125" t="s">
        <v>30</v>
      </c>
      <c r="H8" s="125" t="s">
        <v>40</v>
      </c>
      <c r="I8" s="125" t="s">
        <v>44</v>
      </c>
      <c r="J8" s="125" t="s">
        <v>50</v>
      </c>
      <c r="K8" s="125" t="s">
        <v>292</v>
      </c>
      <c r="L8" s="125" t="s">
        <v>56</v>
      </c>
      <c r="M8" s="129">
        <v>4</v>
      </c>
      <c r="N8" s="129">
        <v>4</v>
      </c>
      <c r="O8" s="129">
        <v>4</v>
      </c>
      <c r="P8" s="129">
        <v>5</v>
      </c>
      <c r="Q8" s="129">
        <v>9</v>
      </c>
      <c r="R8" s="129">
        <v>9</v>
      </c>
      <c r="S8" s="129">
        <v>5</v>
      </c>
      <c r="T8" s="129">
        <v>4</v>
      </c>
      <c r="U8" s="129">
        <v>5</v>
      </c>
      <c r="V8" s="129">
        <v>4</v>
      </c>
      <c r="W8" s="129">
        <v>4</v>
      </c>
      <c r="X8" s="129">
        <v>2</v>
      </c>
      <c r="Y8" s="129">
        <v>3</v>
      </c>
      <c r="Z8" s="129">
        <v>4</v>
      </c>
      <c r="AA8" s="129">
        <v>3</v>
      </c>
      <c r="AB8" s="129">
        <v>3</v>
      </c>
      <c r="AC8" s="129">
        <v>5</v>
      </c>
      <c r="AD8" s="129">
        <v>3</v>
      </c>
      <c r="AE8" s="129">
        <v>4</v>
      </c>
      <c r="AF8" s="129">
        <v>4</v>
      </c>
      <c r="AG8" s="129">
        <v>3</v>
      </c>
      <c r="AH8" s="129">
        <v>4</v>
      </c>
      <c r="AI8" s="125" t="s">
        <v>17</v>
      </c>
      <c r="AJ8" s="129">
        <v>4</v>
      </c>
      <c r="AK8" s="129">
        <v>4</v>
      </c>
      <c r="AL8" s="130">
        <v>1</v>
      </c>
      <c r="AM8" s="129">
        <v>4</v>
      </c>
      <c r="AN8" s="129">
        <v>4</v>
      </c>
      <c r="AO8" s="129">
        <v>4</v>
      </c>
      <c r="AP8" s="129">
        <v>5</v>
      </c>
      <c r="AQ8" s="129">
        <v>5</v>
      </c>
      <c r="AR8" s="129">
        <v>5</v>
      </c>
      <c r="AS8" s="129">
        <v>4</v>
      </c>
      <c r="AT8" s="129">
        <v>4</v>
      </c>
      <c r="AU8" s="129">
        <v>4</v>
      </c>
      <c r="AV8" s="129">
        <v>4</v>
      </c>
      <c r="AW8" s="129">
        <v>5</v>
      </c>
      <c r="AX8" s="129">
        <v>5</v>
      </c>
      <c r="AY8" s="129">
        <v>1</v>
      </c>
      <c r="AZ8" s="129">
        <v>2</v>
      </c>
      <c r="BA8" s="129">
        <v>1</v>
      </c>
      <c r="BB8" s="129">
        <v>1</v>
      </c>
      <c r="BC8" s="129">
        <v>4</v>
      </c>
      <c r="BD8" s="129">
        <v>4</v>
      </c>
      <c r="BE8" s="129">
        <v>3</v>
      </c>
      <c r="BF8" s="129">
        <v>0</v>
      </c>
      <c r="BG8" s="129">
        <v>5</v>
      </c>
      <c r="BH8" s="125"/>
      <c r="BI8" s="129">
        <v>1</v>
      </c>
      <c r="BJ8" s="125" t="s">
        <v>194</v>
      </c>
      <c r="BK8" s="125" t="s">
        <v>206</v>
      </c>
      <c r="BL8" s="125" t="s">
        <v>17</v>
      </c>
      <c r="BM8" s="125" t="s">
        <v>20</v>
      </c>
      <c r="BN8" s="125"/>
      <c r="BO8" s="125"/>
      <c r="BP8" s="129"/>
      <c r="BQ8" s="129"/>
      <c r="BR8" s="125"/>
      <c r="BS8" s="129"/>
      <c r="BT8" s="129"/>
      <c r="BU8" s="125"/>
      <c r="BV8" s="125"/>
      <c r="BW8" s="125"/>
      <c r="BX8" s="125"/>
      <c r="BY8" s="125"/>
      <c r="BZ8" s="129"/>
      <c r="CA8" s="125"/>
      <c r="CB8" s="129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9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</row>
    <row r="9" spans="1:113" ht="12.75">
      <c r="A9" s="128">
        <v>43591.328823171294</v>
      </c>
      <c r="B9" s="125" t="s">
        <v>291</v>
      </c>
      <c r="C9" s="125" t="s">
        <v>11</v>
      </c>
      <c r="D9" s="125" t="s">
        <v>19</v>
      </c>
      <c r="E9" s="125" t="s">
        <v>20</v>
      </c>
      <c r="F9" s="125" t="s">
        <v>26</v>
      </c>
      <c r="G9" s="125" t="s">
        <v>30</v>
      </c>
      <c r="H9" s="125" t="s">
        <v>39</v>
      </c>
      <c r="I9" s="125" t="s">
        <v>44</v>
      </c>
      <c r="J9" s="125" t="s">
        <v>50</v>
      </c>
      <c r="K9" s="125" t="s">
        <v>292</v>
      </c>
      <c r="L9" s="125" t="s">
        <v>56</v>
      </c>
      <c r="M9" s="129">
        <v>5</v>
      </c>
      <c r="N9" s="129">
        <v>3</v>
      </c>
      <c r="O9" s="129">
        <v>3</v>
      </c>
      <c r="P9" s="129">
        <v>5</v>
      </c>
      <c r="Q9" s="129">
        <v>5</v>
      </c>
      <c r="R9" s="129">
        <v>5</v>
      </c>
      <c r="S9" s="129">
        <v>5</v>
      </c>
      <c r="T9" s="129">
        <v>5</v>
      </c>
      <c r="U9" s="129">
        <v>5</v>
      </c>
      <c r="V9" s="129">
        <v>5</v>
      </c>
      <c r="W9" s="129">
        <v>5</v>
      </c>
      <c r="X9" s="129">
        <v>9</v>
      </c>
      <c r="Y9" s="129">
        <v>5</v>
      </c>
      <c r="Z9" s="129">
        <v>5</v>
      </c>
      <c r="AA9" s="129">
        <v>5</v>
      </c>
      <c r="AB9" s="129">
        <v>5</v>
      </c>
      <c r="AC9" s="129">
        <v>5</v>
      </c>
      <c r="AD9" s="129">
        <v>5</v>
      </c>
      <c r="AE9" s="129">
        <v>5</v>
      </c>
      <c r="AF9" s="129">
        <v>5</v>
      </c>
      <c r="AG9" s="129">
        <v>5</v>
      </c>
      <c r="AH9" s="129">
        <v>5</v>
      </c>
      <c r="AI9" s="125" t="s">
        <v>17</v>
      </c>
      <c r="AJ9" s="129">
        <v>5</v>
      </c>
      <c r="AK9" s="129">
        <v>5</v>
      </c>
      <c r="AL9" s="129">
        <v>1</v>
      </c>
      <c r="AM9" s="129">
        <v>5</v>
      </c>
      <c r="AN9" s="129">
        <v>5</v>
      </c>
      <c r="AO9" s="129">
        <v>5</v>
      </c>
      <c r="AP9" s="129">
        <v>4</v>
      </c>
      <c r="AQ9" s="129">
        <v>4</v>
      </c>
      <c r="AR9" s="129">
        <v>5</v>
      </c>
      <c r="AS9" s="129">
        <v>4</v>
      </c>
      <c r="AT9" s="129">
        <v>5</v>
      </c>
      <c r="AU9" s="129">
        <v>5</v>
      </c>
      <c r="AV9" s="129">
        <v>5</v>
      </c>
      <c r="AW9" s="129">
        <v>5</v>
      </c>
      <c r="AX9" s="129">
        <v>5</v>
      </c>
      <c r="AY9" s="129">
        <v>1</v>
      </c>
      <c r="AZ9" s="129">
        <v>2</v>
      </c>
      <c r="BA9" s="129">
        <v>1</v>
      </c>
      <c r="BB9" s="129">
        <v>1</v>
      </c>
      <c r="BC9" s="129">
        <v>5</v>
      </c>
      <c r="BD9" s="129">
        <v>5</v>
      </c>
      <c r="BE9" s="129">
        <v>2</v>
      </c>
      <c r="BF9" s="129">
        <v>0</v>
      </c>
      <c r="BG9" s="129">
        <v>2</v>
      </c>
      <c r="BH9" s="129">
        <v>9</v>
      </c>
      <c r="BI9" s="129">
        <v>9</v>
      </c>
      <c r="BJ9" s="125" t="s">
        <v>195</v>
      </c>
      <c r="BK9" s="125" t="s">
        <v>200</v>
      </c>
      <c r="BL9" s="125" t="s">
        <v>20</v>
      </c>
      <c r="BM9" s="125" t="s">
        <v>294</v>
      </c>
      <c r="BN9" s="125"/>
      <c r="BO9" s="125"/>
      <c r="BP9" s="129"/>
      <c r="BQ9" s="129"/>
      <c r="BR9" s="125"/>
      <c r="BS9" s="129"/>
      <c r="BT9" s="129"/>
      <c r="BU9" s="125"/>
      <c r="BV9" s="125"/>
      <c r="BW9" s="125"/>
      <c r="BX9" s="125"/>
      <c r="BY9" s="125"/>
      <c r="BZ9" s="129"/>
      <c r="CA9" s="125"/>
      <c r="CB9" s="129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9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</row>
    <row r="10" spans="1:113" ht="12.75">
      <c r="A10" s="128">
        <v>43591.330192476853</v>
      </c>
      <c r="B10" s="125" t="s">
        <v>13</v>
      </c>
      <c r="C10" s="125" t="s">
        <v>11</v>
      </c>
      <c r="D10" s="125" t="s">
        <v>16</v>
      </c>
      <c r="E10" s="125" t="s">
        <v>20</v>
      </c>
      <c r="F10" s="125" t="s">
        <v>24</v>
      </c>
      <c r="G10" s="125" t="s">
        <v>30</v>
      </c>
      <c r="H10" s="126" t="s">
        <v>40</v>
      </c>
      <c r="I10" s="125"/>
      <c r="J10" s="125" t="s">
        <v>21</v>
      </c>
      <c r="K10" s="125" t="s">
        <v>298</v>
      </c>
      <c r="L10" s="125" t="s">
        <v>55</v>
      </c>
      <c r="M10" s="129">
        <v>5</v>
      </c>
      <c r="N10" s="129">
        <v>1</v>
      </c>
      <c r="O10" s="129">
        <v>1</v>
      </c>
      <c r="P10" s="129">
        <v>5</v>
      </c>
      <c r="Q10" s="129">
        <v>5</v>
      </c>
      <c r="R10" s="129">
        <v>9</v>
      </c>
      <c r="S10" s="129">
        <v>5</v>
      </c>
      <c r="T10" s="129">
        <v>4</v>
      </c>
      <c r="U10" s="129">
        <v>5</v>
      </c>
      <c r="V10" s="129">
        <v>5</v>
      </c>
      <c r="W10" s="129">
        <v>5</v>
      </c>
      <c r="X10" s="129">
        <v>5</v>
      </c>
      <c r="Y10" s="129">
        <v>5</v>
      </c>
      <c r="Z10" s="129">
        <v>5</v>
      </c>
      <c r="AA10" s="129">
        <v>5</v>
      </c>
      <c r="AB10" s="129">
        <v>5</v>
      </c>
      <c r="AC10" s="129">
        <v>5</v>
      </c>
      <c r="AD10" s="129">
        <v>5</v>
      </c>
      <c r="AE10" s="129">
        <v>5</v>
      </c>
      <c r="AF10" s="129">
        <v>5</v>
      </c>
      <c r="AG10" s="129">
        <v>5</v>
      </c>
      <c r="AH10" s="129">
        <v>5</v>
      </c>
      <c r="AI10" s="125" t="s">
        <v>20</v>
      </c>
      <c r="AJ10" s="129">
        <v>9</v>
      </c>
      <c r="AK10" s="129">
        <v>9</v>
      </c>
      <c r="AL10" s="129">
        <v>9</v>
      </c>
      <c r="AM10" s="129">
        <v>9</v>
      </c>
      <c r="AN10" s="129">
        <v>9</v>
      </c>
      <c r="AO10" s="129">
        <v>9</v>
      </c>
      <c r="AP10" s="129">
        <v>9</v>
      </c>
      <c r="AQ10" s="129">
        <v>9</v>
      </c>
      <c r="AR10" s="129">
        <v>9</v>
      </c>
      <c r="AS10" s="129">
        <v>9</v>
      </c>
      <c r="AT10" s="129">
        <v>9</v>
      </c>
      <c r="AU10" s="129">
        <v>9</v>
      </c>
      <c r="AV10" s="129">
        <v>9</v>
      </c>
      <c r="AW10" s="129">
        <v>9</v>
      </c>
      <c r="AX10" s="129">
        <v>9</v>
      </c>
      <c r="AY10" s="129">
        <v>9</v>
      </c>
      <c r="AZ10" s="129">
        <v>9</v>
      </c>
      <c r="BA10" s="129">
        <v>9</v>
      </c>
      <c r="BB10" s="129">
        <v>9</v>
      </c>
      <c r="BC10" s="129">
        <v>9</v>
      </c>
      <c r="BD10" s="129">
        <v>9</v>
      </c>
      <c r="BE10" s="125" t="s">
        <v>293</v>
      </c>
      <c r="BF10" s="125" t="s">
        <v>293</v>
      </c>
      <c r="BG10" s="125" t="s">
        <v>293</v>
      </c>
      <c r="BH10" s="129">
        <v>9</v>
      </c>
      <c r="BI10" s="129">
        <v>9</v>
      </c>
      <c r="BJ10" s="125" t="s">
        <v>195</v>
      </c>
      <c r="BK10" s="125" t="s">
        <v>200</v>
      </c>
      <c r="BL10" s="125" t="s">
        <v>20</v>
      </c>
      <c r="BM10" s="125" t="s">
        <v>294</v>
      </c>
      <c r="BN10" s="125"/>
      <c r="BO10" s="125"/>
      <c r="BP10" s="129"/>
      <c r="BQ10" s="129"/>
      <c r="BR10" s="125"/>
      <c r="BS10" s="129"/>
      <c r="BT10" s="129"/>
      <c r="BU10" s="125"/>
      <c r="BV10" s="125"/>
      <c r="BW10" s="125"/>
      <c r="BX10" s="125"/>
      <c r="BY10" s="125"/>
      <c r="BZ10" s="129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9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</row>
    <row r="11" spans="1:113" ht="12.75">
      <c r="A11" s="128">
        <v>43591.331644548613</v>
      </c>
      <c r="B11" s="125" t="s">
        <v>291</v>
      </c>
      <c r="C11" s="125" t="s">
        <v>9</v>
      </c>
      <c r="D11" s="125" t="s">
        <v>19</v>
      </c>
      <c r="E11" s="125" t="s">
        <v>17</v>
      </c>
      <c r="F11" s="125" t="s">
        <v>26</v>
      </c>
      <c r="G11" s="125" t="s">
        <v>32</v>
      </c>
      <c r="H11" s="125" t="s">
        <v>39</v>
      </c>
      <c r="I11" s="125" t="s">
        <v>47</v>
      </c>
      <c r="J11" s="125" t="s">
        <v>48</v>
      </c>
      <c r="K11" s="125" t="s">
        <v>58</v>
      </c>
      <c r="L11" s="125" t="s">
        <v>58</v>
      </c>
      <c r="M11" s="129">
        <v>5</v>
      </c>
      <c r="N11" s="129">
        <v>5</v>
      </c>
      <c r="O11" s="129">
        <v>3</v>
      </c>
      <c r="P11" s="129">
        <v>3</v>
      </c>
      <c r="Q11" s="129">
        <v>5</v>
      </c>
      <c r="R11" s="129">
        <v>5</v>
      </c>
      <c r="S11" s="129">
        <v>5</v>
      </c>
      <c r="T11" s="129">
        <v>1</v>
      </c>
      <c r="U11" s="129">
        <v>5</v>
      </c>
      <c r="V11" s="129">
        <v>5</v>
      </c>
      <c r="W11" s="129">
        <v>5</v>
      </c>
      <c r="X11" s="129">
        <v>9</v>
      </c>
      <c r="Y11" s="129">
        <v>5</v>
      </c>
      <c r="Z11" s="129">
        <v>5</v>
      </c>
      <c r="AA11" s="129">
        <v>4</v>
      </c>
      <c r="AB11" s="129">
        <v>4</v>
      </c>
      <c r="AC11" s="129">
        <v>4</v>
      </c>
      <c r="AD11" s="129">
        <v>5</v>
      </c>
      <c r="AE11" s="129">
        <v>5</v>
      </c>
      <c r="AF11" s="129">
        <v>5</v>
      </c>
      <c r="AG11" s="129">
        <v>4</v>
      </c>
      <c r="AH11" s="129">
        <v>5</v>
      </c>
      <c r="AI11" s="125" t="s">
        <v>17</v>
      </c>
      <c r="AJ11" s="129">
        <v>5</v>
      </c>
      <c r="AK11" s="129">
        <v>5</v>
      </c>
      <c r="AL11" s="129">
        <v>1</v>
      </c>
      <c r="AM11" s="129">
        <v>5</v>
      </c>
      <c r="AN11" s="129">
        <v>4</v>
      </c>
      <c r="AO11" s="129">
        <v>5</v>
      </c>
      <c r="AP11" s="129">
        <v>3</v>
      </c>
      <c r="AQ11" s="129">
        <v>5</v>
      </c>
      <c r="AR11" s="129">
        <v>5</v>
      </c>
      <c r="AS11" s="129">
        <v>5</v>
      </c>
      <c r="AT11" s="129">
        <v>5</v>
      </c>
      <c r="AU11" s="129">
        <v>5</v>
      </c>
      <c r="AV11" s="129">
        <v>5</v>
      </c>
      <c r="AW11" s="129">
        <v>5</v>
      </c>
      <c r="AX11" s="129">
        <v>5</v>
      </c>
      <c r="AY11" s="129">
        <v>1</v>
      </c>
      <c r="AZ11" s="129">
        <v>2</v>
      </c>
      <c r="BA11" s="129">
        <v>1</v>
      </c>
      <c r="BB11" s="129">
        <v>1</v>
      </c>
      <c r="BC11" s="129">
        <v>5</v>
      </c>
      <c r="BD11" s="129">
        <v>5</v>
      </c>
      <c r="BE11" s="129">
        <v>5</v>
      </c>
      <c r="BF11" s="129">
        <v>0</v>
      </c>
      <c r="BG11" s="129">
        <v>0</v>
      </c>
      <c r="BH11" s="125"/>
      <c r="BI11" s="129">
        <v>9</v>
      </c>
      <c r="BJ11" s="125" t="s">
        <v>195</v>
      </c>
      <c r="BK11" s="125" t="s">
        <v>200</v>
      </c>
      <c r="BL11" s="125" t="s">
        <v>17</v>
      </c>
      <c r="BM11" s="125" t="s">
        <v>20</v>
      </c>
      <c r="BN11" s="125"/>
      <c r="BO11" s="125"/>
      <c r="BP11" s="129"/>
      <c r="BQ11" s="129"/>
      <c r="BR11" s="125"/>
      <c r="BS11" s="129"/>
      <c r="BT11" s="129"/>
      <c r="BU11" s="125"/>
      <c r="BV11" s="125"/>
      <c r="BW11" s="125"/>
      <c r="BX11" s="125"/>
      <c r="BY11" s="125"/>
      <c r="BZ11" s="129"/>
      <c r="CA11" s="125"/>
      <c r="CB11" s="129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9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</row>
    <row r="12" spans="1:113" ht="12.75">
      <c r="A12" s="128">
        <v>43591.333101226854</v>
      </c>
      <c r="B12" s="125" t="s">
        <v>291</v>
      </c>
      <c r="C12" s="125" t="s">
        <v>11</v>
      </c>
      <c r="D12" s="125" t="s">
        <v>19</v>
      </c>
      <c r="E12" s="125" t="s">
        <v>20</v>
      </c>
      <c r="F12" s="125" t="s">
        <v>24</v>
      </c>
      <c r="G12" s="125" t="s">
        <v>31</v>
      </c>
      <c r="H12" s="125" t="s">
        <v>38</v>
      </c>
      <c r="I12" s="125" t="s">
        <v>49</v>
      </c>
      <c r="J12" s="125" t="s">
        <v>50</v>
      </c>
      <c r="K12" s="125" t="s">
        <v>292</v>
      </c>
      <c r="L12" s="125" t="s">
        <v>55</v>
      </c>
      <c r="M12" s="129">
        <v>5</v>
      </c>
      <c r="N12" s="129">
        <v>2</v>
      </c>
      <c r="O12" s="129">
        <v>1</v>
      </c>
      <c r="P12" s="129">
        <v>5</v>
      </c>
      <c r="Q12" s="129">
        <v>5</v>
      </c>
      <c r="R12" s="129">
        <v>5</v>
      </c>
      <c r="S12" s="129">
        <v>5</v>
      </c>
      <c r="T12" s="129">
        <v>5</v>
      </c>
      <c r="U12" s="129">
        <v>5</v>
      </c>
      <c r="V12" s="129">
        <v>5</v>
      </c>
      <c r="W12" s="129">
        <v>5</v>
      </c>
      <c r="X12" s="129">
        <v>4</v>
      </c>
      <c r="Y12" s="129">
        <v>5</v>
      </c>
      <c r="Z12" s="129">
        <v>5</v>
      </c>
      <c r="AA12" s="129">
        <v>5</v>
      </c>
      <c r="AB12" s="129">
        <v>5</v>
      </c>
      <c r="AC12" s="129">
        <v>5</v>
      </c>
      <c r="AD12" s="129">
        <v>5</v>
      </c>
      <c r="AE12" s="129">
        <v>5</v>
      </c>
      <c r="AF12" s="129">
        <v>5</v>
      </c>
      <c r="AG12" s="129">
        <v>5</v>
      </c>
      <c r="AH12" s="129">
        <v>5</v>
      </c>
      <c r="AI12" s="125" t="s">
        <v>20</v>
      </c>
      <c r="AJ12" s="129">
        <v>9</v>
      </c>
      <c r="AK12" s="129">
        <v>5</v>
      </c>
      <c r="AL12" s="129">
        <v>1</v>
      </c>
      <c r="AM12" s="129">
        <v>5</v>
      </c>
      <c r="AN12" s="129">
        <v>5</v>
      </c>
      <c r="AO12" s="129">
        <v>5</v>
      </c>
      <c r="AP12" s="129">
        <v>5</v>
      </c>
      <c r="AQ12" s="129">
        <v>4</v>
      </c>
      <c r="AR12" s="129">
        <v>5</v>
      </c>
      <c r="AS12" s="129">
        <v>5</v>
      </c>
      <c r="AT12" s="129">
        <v>5</v>
      </c>
      <c r="AU12" s="129">
        <v>5</v>
      </c>
      <c r="AV12" s="129">
        <v>5</v>
      </c>
      <c r="AW12" s="129">
        <v>5</v>
      </c>
      <c r="AX12" s="129">
        <v>5</v>
      </c>
      <c r="AY12" s="129">
        <v>1</v>
      </c>
      <c r="AZ12" s="129">
        <v>2</v>
      </c>
      <c r="BA12" s="129">
        <v>1</v>
      </c>
      <c r="BB12" s="129">
        <v>9</v>
      </c>
      <c r="BC12" s="129">
        <v>5</v>
      </c>
      <c r="BD12" s="129">
        <v>5</v>
      </c>
      <c r="BE12" s="129">
        <v>1</v>
      </c>
      <c r="BF12" s="129">
        <v>0</v>
      </c>
      <c r="BG12" s="129">
        <v>3</v>
      </c>
      <c r="BH12" s="129">
        <v>9</v>
      </c>
      <c r="BI12" s="129">
        <v>9</v>
      </c>
      <c r="BJ12" s="125" t="s">
        <v>195</v>
      </c>
      <c r="BK12" s="125" t="s">
        <v>200</v>
      </c>
      <c r="BL12" s="125" t="s">
        <v>20</v>
      </c>
      <c r="BM12" s="125" t="s">
        <v>294</v>
      </c>
      <c r="BN12" s="125"/>
      <c r="BO12" s="125"/>
      <c r="BP12" s="129"/>
      <c r="BQ12" s="129"/>
      <c r="BR12" s="125"/>
      <c r="BS12" s="129"/>
      <c r="BT12" s="129"/>
      <c r="BU12" s="125"/>
      <c r="BV12" s="125"/>
      <c r="BW12" s="125"/>
      <c r="BX12" s="125"/>
      <c r="BY12" s="125"/>
      <c r="BZ12" s="129"/>
      <c r="CA12" s="125"/>
      <c r="CB12" s="129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9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</row>
    <row r="13" spans="1:113" ht="13.5" customHeight="1">
      <c r="A13" s="128">
        <v>43591.334934965278</v>
      </c>
      <c r="B13" s="125" t="s">
        <v>297</v>
      </c>
      <c r="C13" s="125" t="s">
        <v>11</v>
      </c>
      <c r="D13" s="125" t="s">
        <v>16</v>
      </c>
      <c r="E13" s="125" t="s">
        <v>20</v>
      </c>
      <c r="F13" s="125" t="s">
        <v>24</v>
      </c>
      <c r="G13" s="125" t="s">
        <v>30</v>
      </c>
      <c r="H13" s="126" t="s">
        <v>40</v>
      </c>
      <c r="I13" s="125"/>
      <c r="J13" s="125" t="s">
        <v>21</v>
      </c>
      <c r="K13" s="125" t="s">
        <v>298</v>
      </c>
      <c r="L13" s="125" t="s">
        <v>55</v>
      </c>
      <c r="M13" s="129">
        <v>4</v>
      </c>
      <c r="N13" s="129">
        <v>3</v>
      </c>
      <c r="O13" s="129">
        <v>1</v>
      </c>
      <c r="P13" s="129">
        <v>5</v>
      </c>
      <c r="Q13" s="129">
        <v>5</v>
      </c>
      <c r="R13" s="129">
        <v>5</v>
      </c>
      <c r="S13" s="129">
        <v>5</v>
      </c>
      <c r="T13" s="129">
        <v>3</v>
      </c>
      <c r="U13" s="129">
        <v>9</v>
      </c>
      <c r="V13" s="129">
        <v>9</v>
      </c>
      <c r="W13" s="129">
        <v>9</v>
      </c>
      <c r="X13" s="129">
        <v>3</v>
      </c>
      <c r="Y13" s="129">
        <v>4</v>
      </c>
      <c r="Z13" s="129">
        <v>5</v>
      </c>
      <c r="AA13" s="129">
        <v>3</v>
      </c>
      <c r="AB13" s="129">
        <v>5</v>
      </c>
      <c r="AC13" s="129">
        <v>4</v>
      </c>
      <c r="AD13" s="129">
        <v>3</v>
      </c>
      <c r="AE13" s="129">
        <v>5</v>
      </c>
      <c r="AF13" s="129">
        <v>4</v>
      </c>
      <c r="AG13" s="129">
        <v>5</v>
      </c>
      <c r="AH13" s="129">
        <v>5</v>
      </c>
      <c r="AI13" s="125" t="s">
        <v>20</v>
      </c>
      <c r="AJ13" s="129">
        <v>9</v>
      </c>
      <c r="AK13" s="129">
        <v>9</v>
      </c>
      <c r="AL13" s="129">
        <v>9</v>
      </c>
      <c r="AM13" s="129">
        <v>9</v>
      </c>
      <c r="AN13" s="129">
        <v>9</v>
      </c>
      <c r="AO13" s="129">
        <v>9</v>
      </c>
      <c r="AP13" s="129">
        <v>9</v>
      </c>
      <c r="AQ13" s="129">
        <v>9</v>
      </c>
      <c r="AR13" s="129">
        <v>9</v>
      </c>
      <c r="AS13" s="129">
        <v>9</v>
      </c>
      <c r="AT13" s="129">
        <v>9</v>
      </c>
      <c r="AU13" s="129">
        <v>9</v>
      </c>
      <c r="AV13" s="129">
        <v>9</v>
      </c>
      <c r="AW13" s="129">
        <v>9</v>
      </c>
      <c r="AX13" s="129">
        <v>9</v>
      </c>
      <c r="AY13" s="129">
        <v>9</v>
      </c>
      <c r="AZ13" s="129">
        <v>9</v>
      </c>
      <c r="BA13" s="129">
        <v>9</v>
      </c>
      <c r="BB13" s="129">
        <v>9</v>
      </c>
      <c r="BC13" s="129">
        <v>9</v>
      </c>
      <c r="BD13" s="129">
        <v>9</v>
      </c>
      <c r="BE13" s="125" t="s">
        <v>293</v>
      </c>
      <c r="BF13" s="125" t="s">
        <v>293</v>
      </c>
      <c r="BG13" s="125" t="s">
        <v>293</v>
      </c>
      <c r="BH13" s="125" t="s">
        <v>299</v>
      </c>
      <c r="BI13" s="129">
        <v>2</v>
      </c>
      <c r="BJ13" s="125" t="s">
        <v>194</v>
      </c>
      <c r="BK13" s="125" t="s">
        <v>294</v>
      </c>
      <c r="BL13" s="125" t="s">
        <v>20</v>
      </c>
      <c r="BM13" s="125" t="s">
        <v>20</v>
      </c>
      <c r="BN13" s="125"/>
      <c r="BO13" s="125"/>
      <c r="BP13" s="129"/>
      <c r="BQ13" s="129"/>
      <c r="BR13" s="125"/>
      <c r="BS13" s="129"/>
      <c r="BT13" s="129"/>
      <c r="BU13" s="125"/>
      <c r="BV13" s="125"/>
      <c r="BW13" s="125"/>
      <c r="BX13" s="125"/>
      <c r="BY13" s="125"/>
      <c r="BZ13" s="129"/>
      <c r="CA13" s="125"/>
      <c r="CB13" s="129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9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</row>
    <row r="14" spans="1:113" ht="12.75">
      <c r="A14" s="128">
        <v>43591.33714019676</v>
      </c>
      <c r="B14" s="125" t="s">
        <v>297</v>
      </c>
      <c r="C14" s="125" t="s">
        <v>11</v>
      </c>
      <c r="D14" s="125" t="s">
        <v>16</v>
      </c>
      <c r="E14" s="125" t="s">
        <v>20</v>
      </c>
      <c r="F14" s="125" t="s">
        <v>24</v>
      </c>
      <c r="G14" s="125" t="s">
        <v>31</v>
      </c>
      <c r="H14" s="125" t="s">
        <v>38</v>
      </c>
      <c r="I14" s="125" t="s">
        <v>44</v>
      </c>
      <c r="J14" s="125" t="s">
        <v>48</v>
      </c>
      <c r="K14" s="125" t="s">
        <v>57</v>
      </c>
      <c r="L14" s="125" t="s">
        <v>56</v>
      </c>
      <c r="M14" s="129">
        <v>5</v>
      </c>
      <c r="N14" s="129">
        <v>3</v>
      </c>
      <c r="O14" s="129">
        <v>3</v>
      </c>
      <c r="P14" s="129">
        <v>5</v>
      </c>
      <c r="Q14" s="129">
        <v>5</v>
      </c>
      <c r="R14" s="129">
        <v>5</v>
      </c>
      <c r="S14" s="129">
        <v>5</v>
      </c>
      <c r="T14" s="129">
        <v>5</v>
      </c>
      <c r="U14" s="129">
        <v>5</v>
      </c>
      <c r="V14" s="129">
        <v>5</v>
      </c>
      <c r="W14" s="129">
        <v>5</v>
      </c>
      <c r="X14" s="129">
        <v>9</v>
      </c>
      <c r="Y14" s="129">
        <v>5</v>
      </c>
      <c r="Z14" s="129">
        <v>5</v>
      </c>
      <c r="AA14" s="129">
        <v>5</v>
      </c>
      <c r="AB14" s="129">
        <v>5</v>
      </c>
      <c r="AC14" s="129">
        <v>5</v>
      </c>
      <c r="AD14" s="129">
        <v>5</v>
      </c>
      <c r="AE14" s="129">
        <v>5</v>
      </c>
      <c r="AF14" s="129">
        <v>5</v>
      </c>
      <c r="AG14" s="129">
        <v>5</v>
      </c>
      <c r="AH14" s="129">
        <v>9</v>
      </c>
      <c r="AI14" s="125" t="s">
        <v>20</v>
      </c>
      <c r="AJ14" s="129">
        <v>9</v>
      </c>
      <c r="AK14" s="129">
        <v>5</v>
      </c>
      <c r="AL14" s="129">
        <v>1</v>
      </c>
      <c r="AM14" s="129">
        <v>5</v>
      </c>
      <c r="AN14" s="129">
        <v>5</v>
      </c>
      <c r="AO14" s="129">
        <v>5</v>
      </c>
      <c r="AP14" s="129">
        <v>5</v>
      </c>
      <c r="AQ14" s="129">
        <v>5</v>
      </c>
      <c r="AR14" s="129">
        <v>5</v>
      </c>
      <c r="AS14" s="129">
        <v>5</v>
      </c>
      <c r="AT14" s="129">
        <v>5</v>
      </c>
      <c r="AU14" s="129">
        <v>5</v>
      </c>
      <c r="AV14" s="129">
        <v>5</v>
      </c>
      <c r="AW14" s="129">
        <v>5</v>
      </c>
      <c r="AX14" s="129">
        <v>5</v>
      </c>
      <c r="AY14" s="129">
        <v>1</v>
      </c>
      <c r="AZ14" s="129">
        <v>9</v>
      </c>
      <c r="BA14" s="129">
        <v>9</v>
      </c>
      <c r="BB14" s="129">
        <v>9</v>
      </c>
      <c r="BC14" s="129">
        <v>5</v>
      </c>
      <c r="BD14" s="129">
        <v>5</v>
      </c>
      <c r="BE14" s="129">
        <v>3</v>
      </c>
      <c r="BF14" s="125" t="s">
        <v>293</v>
      </c>
      <c r="BG14" s="125" t="s">
        <v>293</v>
      </c>
      <c r="BH14" s="125" t="s">
        <v>300</v>
      </c>
      <c r="BI14" s="129">
        <v>9</v>
      </c>
      <c r="BJ14" s="125" t="s">
        <v>195</v>
      </c>
      <c r="BK14" s="125" t="s">
        <v>197</v>
      </c>
      <c r="BL14" s="125" t="s">
        <v>17</v>
      </c>
      <c r="BM14" s="125" t="s">
        <v>20</v>
      </c>
      <c r="BN14" s="125"/>
      <c r="BO14" s="125"/>
      <c r="BP14" s="129"/>
      <c r="BQ14" s="129"/>
      <c r="BR14" s="125"/>
      <c r="BS14" s="129"/>
      <c r="BT14" s="129"/>
      <c r="BU14" s="125"/>
      <c r="BV14" s="125"/>
      <c r="BW14" s="125"/>
      <c r="BX14" s="125"/>
      <c r="BY14" s="125"/>
      <c r="BZ14" s="129"/>
      <c r="CA14" s="125"/>
      <c r="CB14" s="129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9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</row>
    <row r="15" spans="1:113" ht="13.5" customHeight="1">
      <c r="A15" s="128">
        <v>43591.33843447917</v>
      </c>
      <c r="B15" s="125" t="s">
        <v>291</v>
      </c>
      <c r="C15" s="125" t="s">
        <v>9</v>
      </c>
      <c r="D15" s="125" t="s">
        <v>19</v>
      </c>
      <c r="E15" s="125" t="s">
        <v>17</v>
      </c>
      <c r="F15" s="125" t="s">
        <v>24</v>
      </c>
      <c r="G15" s="125" t="s">
        <v>31</v>
      </c>
      <c r="H15" s="125" t="s">
        <v>39</v>
      </c>
      <c r="I15" s="125" t="s">
        <v>47</v>
      </c>
      <c r="J15" s="125" t="s">
        <v>48</v>
      </c>
      <c r="K15" s="125" t="s">
        <v>58</v>
      </c>
      <c r="L15" s="125" t="s">
        <v>58</v>
      </c>
      <c r="M15" s="129">
        <v>5</v>
      </c>
      <c r="N15" s="129">
        <v>4</v>
      </c>
      <c r="O15" s="129">
        <v>3</v>
      </c>
      <c r="P15" s="129">
        <v>5</v>
      </c>
      <c r="Q15" s="129">
        <v>5</v>
      </c>
      <c r="R15" s="129">
        <v>5</v>
      </c>
      <c r="S15" s="129">
        <v>5</v>
      </c>
      <c r="T15" s="129">
        <v>5</v>
      </c>
      <c r="U15" s="129">
        <v>5</v>
      </c>
      <c r="V15" s="129">
        <v>5</v>
      </c>
      <c r="W15" s="129">
        <v>5</v>
      </c>
      <c r="X15" s="129">
        <v>9</v>
      </c>
      <c r="Y15" s="129">
        <v>5</v>
      </c>
      <c r="Z15" s="129">
        <v>5</v>
      </c>
      <c r="AA15" s="129">
        <v>5</v>
      </c>
      <c r="AB15" s="129">
        <v>5</v>
      </c>
      <c r="AC15" s="129">
        <v>5</v>
      </c>
      <c r="AD15" s="129">
        <v>5</v>
      </c>
      <c r="AE15" s="129">
        <v>5</v>
      </c>
      <c r="AF15" s="129">
        <v>5</v>
      </c>
      <c r="AG15" s="129">
        <v>5</v>
      </c>
      <c r="AH15" s="129">
        <v>5</v>
      </c>
      <c r="AI15" s="125" t="s">
        <v>17</v>
      </c>
      <c r="AJ15" s="129">
        <v>5</v>
      </c>
      <c r="AK15" s="129">
        <v>5</v>
      </c>
      <c r="AL15" s="129">
        <v>1</v>
      </c>
      <c r="AM15" s="129">
        <v>5</v>
      </c>
      <c r="AN15" s="129">
        <v>5</v>
      </c>
      <c r="AO15" s="129">
        <v>5</v>
      </c>
      <c r="AP15" s="129">
        <v>5</v>
      </c>
      <c r="AQ15" s="129">
        <v>5</v>
      </c>
      <c r="AR15" s="129">
        <v>5</v>
      </c>
      <c r="AS15" s="129">
        <v>5</v>
      </c>
      <c r="AT15" s="129">
        <v>5</v>
      </c>
      <c r="AU15" s="129">
        <v>5</v>
      </c>
      <c r="AV15" s="129">
        <v>5</v>
      </c>
      <c r="AW15" s="129">
        <v>5</v>
      </c>
      <c r="AX15" s="129">
        <v>5</v>
      </c>
      <c r="AY15" s="129">
        <v>1</v>
      </c>
      <c r="AZ15" s="129">
        <v>2</v>
      </c>
      <c r="BA15" s="129">
        <v>1</v>
      </c>
      <c r="BB15" s="129">
        <v>1</v>
      </c>
      <c r="BC15" s="129">
        <v>5</v>
      </c>
      <c r="BD15" s="129">
        <v>5</v>
      </c>
      <c r="BE15" s="129">
        <v>4</v>
      </c>
      <c r="BF15" s="129">
        <v>0</v>
      </c>
      <c r="BG15" s="129">
        <v>0</v>
      </c>
      <c r="BH15" s="125"/>
      <c r="BI15" s="129">
        <v>9</v>
      </c>
      <c r="BJ15" s="125" t="s">
        <v>195</v>
      </c>
      <c r="BK15" s="125" t="s">
        <v>200</v>
      </c>
      <c r="BL15" s="125" t="s">
        <v>17</v>
      </c>
      <c r="BM15" s="125" t="s">
        <v>20</v>
      </c>
      <c r="BN15" s="125"/>
      <c r="BO15" s="125"/>
      <c r="BP15" s="129"/>
      <c r="BQ15" s="129"/>
      <c r="BR15" s="125"/>
      <c r="BS15" s="129"/>
      <c r="BT15" s="129"/>
      <c r="BU15" s="125"/>
      <c r="BV15" s="125"/>
      <c r="BW15" s="125"/>
      <c r="BX15" s="125"/>
      <c r="BY15" s="125"/>
      <c r="BZ15" s="129"/>
      <c r="CA15" s="125"/>
      <c r="CB15" s="129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9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</row>
    <row r="16" spans="1:113" ht="12.75">
      <c r="A16" s="128">
        <v>43591.351578865739</v>
      </c>
      <c r="B16" s="125" t="s">
        <v>297</v>
      </c>
      <c r="C16" s="125" t="s">
        <v>11</v>
      </c>
      <c r="D16" s="125" t="s">
        <v>19</v>
      </c>
      <c r="E16" s="125" t="s">
        <v>17</v>
      </c>
      <c r="F16" s="125" t="s">
        <v>24</v>
      </c>
      <c r="G16" s="125" t="s">
        <v>32</v>
      </c>
      <c r="H16" s="125" t="s">
        <v>39</v>
      </c>
      <c r="I16" s="125" t="s">
        <v>44</v>
      </c>
      <c r="J16" s="125" t="s">
        <v>48</v>
      </c>
      <c r="K16" s="125" t="s">
        <v>58</v>
      </c>
      <c r="L16" s="125" t="s">
        <v>58</v>
      </c>
      <c r="M16" s="129">
        <v>5</v>
      </c>
      <c r="N16" s="129">
        <v>5</v>
      </c>
      <c r="O16" s="129">
        <v>4</v>
      </c>
      <c r="P16" s="129">
        <v>5</v>
      </c>
      <c r="Q16" s="129">
        <v>4</v>
      </c>
      <c r="R16" s="129">
        <v>5</v>
      </c>
      <c r="S16" s="129">
        <v>5</v>
      </c>
      <c r="T16" s="129">
        <v>4</v>
      </c>
      <c r="U16" s="129">
        <v>4</v>
      </c>
      <c r="V16" s="129">
        <v>5</v>
      </c>
      <c r="W16" s="129">
        <v>4</v>
      </c>
      <c r="X16" s="129">
        <v>9</v>
      </c>
      <c r="Y16" s="129">
        <v>3</v>
      </c>
      <c r="Z16" s="129">
        <v>3</v>
      </c>
      <c r="AA16" s="129">
        <v>4</v>
      </c>
      <c r="AB16" s="129">
        <v>4</v>
      </c>
      <c r="AC16" s="129">
        <v>4</v>
      </c>
      <c r="AD16" s="129">
        <v>4</v>
      </c>
      <c r="AE16" s="129">
        <v>4</v>
      </c>
      <c r="AF16" s="129">
        <v>4</v>
      </c>
      <c r="AG16" s="129">
        <v>4</v>
      </c>
      <c r="AH16" s="129">
        <v>5</v>
      </c>
      <c r="AI16" s="125" t="s">
        <v>17</v>
      </c>
      <c r="AJ16" s="129">
        <v>4</v>
      </c>
      <c r="AK16" s="129">
        <v>5</v>
      </c>
      <c r="AL16" s="129">
        <v>5</v>
      </c>
      <c r="AM16" s="129">
        <v>5</v>
      </c>
      <c r="AN16" s="129">
        <v>5</v>
      </c>
      <c r="AO16" s="129">
        <v>5</v>
      </c>
      <c r="AP16" s="129">
        <v>4</v>
      </c>
      <c r="AQ16" s="129">
        <v>5</v>
      </c>
      <c r="AR16" s="129">
        <v>5</v>
      </c>
      <c r="AS16" s="129">
        <v>5</v>
      </c>
      <c r="AT16" s="129">
        <v>4</v>
      </c>
      <c r="AU16" s="129">
        <v>4</v>
      </c>
      <c r="AV16" s="129">
        <v>5</v>
      </c>
      <c r="AW16" s="129">
        <v>5</v>
      </c>
      <c r="AX16" s="129">
        <v>5</v>
      </c>
      <c r="AY16" s="129">
        <v>1</v>
      </c>
      <c r="AZ16" s="129">
        <v>9</v>
      </c>
      <c r="BA16" s="129">
        <v>1</v>
      </c>
      <c r="BB16" s="129">
        <v>1</v>
      </c>
      <c r="BC16" s="129">
        <v>5</v>
      </c>
      <c r="BD16" s="129">
        <v>5</v>
      </c>
      <c r="BE16" s="129">
        <v>10</v>
      </c>
      <c r="BF16" s="125" t="s">
        <v>293</v>
      </c>
      <c r="BG16" s="129">
        <v>4</v>
      </c>
      <c r="BH16" s="125" t="s">
        <v>301</v>
      </c>
      <c r="BI16" s="129">
        <v>2</v>
      </c>
      <c r="BJ16" s="125" t="s">
        <v>195</v>
      </c>
      <c r="BK16" s="125" t="s">
        <v>197</v>
      </c>
      <c r="BL16" s="125" t="s">
        <v>17</v>
      </c>
      <c r="BM16" s="125" t="s">
        <v>17</v>
      </c>
      <c r="BN16" s="129">
        <v>4</v>
      </c>
      <c r="BO16" s="125" t="s">
        <v>302</v>
      </c>
      <c r="BP16" s="129"/>
      <c r="BQ16" s="129"/>
      <c r="BR16" s="125"/>
      <c r="BS16" s="129"/>
      <c r="BT16" s="129"/>
      <c r="BU16" s="125"/>
      <c r="BV16" s="125"/>
      <c r="BW16" s="125"/>
      <c r="BX16" s="125"/>
      <c r="BY16" s="125"/>
      <c r="BZ16" s="129"/>
      <c r="CA16" s="125"/>
      <c r="CB16" s="129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9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</row>
    <row r="17" spans="1:113" ht="12.75">
      <c r="A17" s="128">
        <v>43591.353252187502</v>
      </c>
      <c r="B17" s="125" t="s">
        <v>297</v>
      </c>
      <c r="C17" s="125" t="s">
        <v>9</v>
      </c>
      <c r="D17" s="125" t="s">
        <v>19</v>
      </c>
      <c r="E17" s="125" t="s">
        <v>20</v>
      </c>
      <c r="F17" s="125" t="s">
        <v>26</v>
      </c>
      <c r="G17" s="125" t="s">
        <v>31</v>
      </c>
      <c r="H17" s="125" t="s">
        <v>38</v>
      </c>
      <c r="I17" s="125" t="s">
        <v>44</v>
      </c>
      <c r="J17" s="125" t="s">
        <v>45</v>
      </c>
      <c r="K17" s="125" t="s">
        <v>292</v>
      </c>
      <c r="L17" s="125" t="s">
        <v>55</v>
      </c>
      <c r="M17" s="129">
        <v>5</v>
      </c>
      <c r="N17" s="129">
        <v>1</v>
      </c>
      <c r="O17" s="129">
        <v>1</v>
      </c>
      <c r="P17" s="129">
        <v>5</v>
      </c>
      <c r="Q17" s="129">
        <v>4</v>
      </c>
      <c r="R17" s="129">
        <v>4</v>
      </c>
      <c r="S17" s="129">
        <v>5</v>
      </c>
      <c r="T17" s="129">
        <v>5</v>
      </c>
      <c r="U17" s="129">
        <v>4</v>
      </c>
      <c r="V17" s="129">
        <v>5</v>
      </c>
      <c r="W17" s="129">
        <v>5</v>
      </c>
      <c r="X17" s="129">
        <v>3</v>
      </c>
      <c r="Y17" s="129">
        <v>5</v>
      </c>
      <c r="Z17" s="129">
        <v>4</v>
      </c>
      <c r="AA17" s="129">
        <v>5</v>
      </c>
      <c r="AB17" s="129">
        <v>4</v>
      </c>
      <c r="AC17" s="129">
        <v>5</v>
      </c>
      <c r="AD17" s="129">
        <v>5</v>
      </c>
      <c r="AE17" s="129">
        <v>5</v>
      </c>
      <c r="AF17" s="129">
        <v>5</v>
      </c>
      <c r="AG17" s="129">
        <v>5</v>
      </c>
      <c r="AH17" s="129">
        <v>5</v>
      </c>
      <c r="AI17" s="125" t="s">
        <v>17</v>
      </c>
      <c r="AJ17" s="129">
        <v>5</v>
      </c>
      <c r="AK17" s="129">
        <v>5</v>
      </c>
      <c r="AL17" s="129">
        <v>1</v>
      </c>
      <c r="AM17" s="129">
        <v>5</v>
      </c>
      <c r="AN17" s="129">
        <v>5</v>
      </c>
      <c r="AO17" s="129">
        <v>5</v>
      </c>
      <c r="AP17" s="129">
        <v>3</v>
      </c>
      <c r="AQ17" s="129">
        <v>5</v>
      </c>
      <c r="AR17" s="129">
        <v>5</v>
      </c>
      <c r="AS17" s="129">
        <v>5</v>
      </c>
      <c r="AT17" s="129">
        <v>9</v>
      </c>
      <c r="AU17" s="129">
        <v>9</v>
      </c>
      <c r="AV17" s="129">
        <v>9</v>
      </c>
      <c r="AW17" s="129">
        <v>9</v>
      </c>
      <c r="AX17" s="129">
        <v>9</v>
      </c>
      <c r="AY17" s="129">
        <v>9</v>
      </c>
      <c r="AZ17" s="129">
        <v>9</v>
      </c>
      <c r="BA17" s="129">
        <v>9</v>
      </c>
      <c r="BB17" s="129">
        <v>9</v>
      </c>
      <c r="BC17" s="129">
        <v>9</v>
      </c>
      <c r="BD17" s="129">
        <v>9</v>
      </c>
      <c r="BE17" s="125" t="s">
        <v>293</v>
      </c>
      <c r="BF17" s="125" t="s">
        <v>293</v>
      </c>
      <c r="BG17" s="125" t="s">
        <v>293</v>
      </c>
      <c r="BH17" s="125"/>
      <c r="BI17" s="129">
        <v>1</v>
      </c>
      <c r="BJ17" s="125" t="s">
        <v>193</v>
      </c>
      <c r="BK17" s="125" t="s">
        <v>294</v>
      </c>
      <c r="BL17" s="125" t="s">
        <v>20</v>
      </c>
      <c r="BM17" s="125" t="s">
        <v>20</v>
      </c>
      <c r="BN17" s="125"/>
      <c r="BO17" s="125"/>
      <c r="BP17" s="129"/>
      <c r="BQ17" s="129"/>
      <c r="BR17" s="125"/>
      <c r="BS17" s="129"/>
      <c r="BT17" s="129"/>
      <c r="BU17" s="125"/>
      <c r="BV17" s="125"/>
      <c r="BW17" s="125"/>
      <c r="BX17" s="125"/>
      <c r="BY17" s="125"/>
      <c r="BZ17" s="129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9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</row>
    <row r="18" spans="1:113" ht="12.75">
      <c r="A18" s="128">
        <v>43591.354759282403</v>
      </c>
      <c r="B18" s="125" t="s">
        <v>297</v>
      </c>
      <c r="C18" s="125" t="s">
        <v>9</v>
      </c>
      <c r="D18" s="125" t="s">
        <v>19</v>
      </c>
      <c r="E18" s="125" t="s">
        <v>17</v>
      </c>
      <c r="F18" s="125" t="s">
        <v>24</v>
      </c>
      <c r="G18" s="125" t="s">
        <v>32</v>
      </c>
      <c r="H18" s="125" t="s">
        <v>39</v>
      </c>
      <c r="I18" s="125" t="s">
        <v>44</v>
      </c>
      <c r="J18" s="125" t="s">
        <v>50</v>
      </c>
      <c r="K18" s="125" t="s">
        <v>58</v>
      </c>
      <c r="L18" s="125" t="s">
        <v>57</v>
      </c>
      <c r="M18" s="129">
        <v>5</v>
      </c>
      <c r="N18" s="129">
        <v>4</v>
      </c>
      <c r="O18" s="129">
        <v>4</v>
      </c>
      <c r="P18" s="129">
        <v>5</v>
      </c>
      <c r="Q18" s="129">
        <v>9</v>
      </c>
      <c r="R18" s="129">
        <v>9</v>
      </c>
      <c r="S18" s="129">
        <v>5</v>
      </c>
      <c r="T18" s="129">
        <v>4</v>
      </c>
      <c r="U18" s="129">
        <v>5</v>
      </c>
      <c r="V18" s="129">
        <v>5</v>
      </c>
      <c r="W18" s="129">
        <v>5</v>
      </c>
      <c r="X18" s="129">
        <v>9</v>
      </c>
      <c r="Y18" s="129">
        <v>5</v>
      </c>
      <c r="Z18" s="129">
        <v>5</v>
      </c>
      <c r="AA18" s="129">
        <v>5</v>
      </c>
      <c r="AB18" s="129">
        <v>5</v>
      </c>
      <c r="AC18" s="129">
        <v>5</v>
      </c>
      <c r="AD18" s="129">
        <v>5</v>
      </c>
      <c r="AE18" s="129">
        <v>5</v>
      </c>
      <c r="AF18" s="129">
        <v>5</v>
      </c>
      <c r="AG18" s="129">
        <v>5</v>
      </c>
      <c r="AH18" s="129">
        <v>5</v>
      </c>
      <c r="AI18" s="125" t="s">
        <v>20</v>
      </c>
      <c r="AJ18" s="129">
        <v>9</v>
      </c>
      <c r="AK18" s="129">
        <v>5</v>
      </c>
      <c r="AL18" s="129">
        <v>2</v>
      </c>
      <c r="AM18" s="129">
        <v>5</v>
      </c>
      <c r="AN18" s="129">
        <v>5</v>
      </c>
      <c r="AO18" s="129">
        <v>5</v>
      </c>
      <c r="AP18" s="129">
        <v>5</v>
      </c>
      <c r="AQ18" s="129">
        <v>5</v>
      </c>
      <c r="AR18" s="129">
        <v>5</v>
      </c>
      <c r="AS18" s="129">
        <v>5</v>
      </c>
      <c r="AT18" s="129">
        <v>5</v>
      </c>
      <c r="AU18" s="129">
        <v>5</v>
      </c>
      <c r="AV18" s="129">
        <v>5</v>
      </c>
      <c r="AW18" s="129">
        <v>5</v>
      </c>
      <c r="AX18" s="129">
        <v>5</v>
      </c>
      <c r="AY18" s="129">
        <v>1</v>
      </c>
      <c r="AZ18" s="129">
        <v>2</v>
      </c>
      <c r="BA18" s="129">
        <v>1</v>
      </c>
      <c r="BB18" s="129">
        <v>1</v>
      </c>
      <c r="BC18" s="129">
        <v>5</v>
      </c>
      <c r="BD18" s="129">
        <v>5</v>
      </c>
      <c r="BE18" s="129">
        <v>8</v>
      </c>
      <c r="BF18" s="125" t="s">
        <v>293</v>
      </c>
      <c r="BG18" s="129">
        <v>3</v>
      </c>
      <c r="BH18" s="125"/>
      <c r="BI18" s="129">
        <v>9</v>
      </c>
      <c r="BJ18" s="125" t="s">
        <v>195</v>
      </c>
      <c r="BK18" s="125" t="s">
        <v>198</v>
      </c>
      <c r="BL18" s="125" t="s">
        <v>17</v>
      </c>
      <c r="BM18" s="125" t="s">
        <v>20</v>
      </c>
      <c r="BN18" s="125"/>
      <c r="BO18" s="125"/>
      <c r="BP18" s="129"/>
      <c r="BQ18" s="129"/>
      <c r="BR18" s="125"/>
      <c r="BS18" s="129"/>
      <c r="BT18" s="129"/>
      <c r="BU18" s="125"/>
      <c r="BV18" s="125"/>
      <c r="BW18" s="125"/>
      <c r="BX18" s="125"/>
      <c r="BY18" s="125"/>
      <c r="BZ18" s="129"/>
      <c r="CA18" s="125"/>
      <c r="CB18" s="129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9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</row>
    <row r="19" spans="1:113" ht="12.75">
      <c r="A19" s="128">
        <v>43591.356308020833</v>
      </c>
      <c r="B19" s="125" t="s">
        <v>297</v>
      </c>
      <c r="C19" s="125" t="s">
        <v>9</v>
      </c>
      <c r="D19" s="125" t="s">
        <v>19</v>
      </c>
      <c r="E19" s="125" t="s">
        <v>20</v>
      </c>
      <c r="F19" s="125" t="s">
        <v>26</v>
      </c>
      <c r="G19" s="125" t="s">
        <v>31</v>
      </c>
      <c r="H19" s="125" t="s">
        <v>39</v>
      </c>
      <c r="I19" s="125" t="s">
        <v>44</v>
      </c>
      <c r="J19" s="125" t="s">
        <v>48</v>
      </c>
      <c r="K19" s="125" t="s">
        <v>58</v>
      </c>
      <c r="L19" s="125" t="s">
        <v>57</v>
      </c>
      <c r="M19" s="129">
        <v>5</v>
      </c>
      <c r="N19" s="129">
        <v>5</v>
      </c>
      <c r="O19" s="129">
        <v>4</v>
      </c>
      <c r="P19" s="129">
        <v>5</v>
      </c>
      <c r="Q19" s="129">
        <v>5</v>
      </c>
      <c r="R19" s="129">
        <v>4</v>
      </c>
      <c r="S19" s="129">
        <v>5</v>
      </c>
      <c r="T19" s="129">
        <v>5</v>
      </c>
      <c r="U19" s="129">
        <v>5</v>
      </c>
      <c r="V19" s="129">
        <v>5</v>
      </c>
      <c r="W19" s="129">
        <v>5</v>
      </c>
      <c r="X19" s="129">
        <v>9</v>
      </c>
      <c r="Y19" s="129">
        <v>5</v>
      </c>
      <c r="Z19" s="129">
        <v>5</v>
      </c>
      <c r="AA19" s="129">
        <v>5</v>
      </c>
      <c r="AB19" s="129">
        <v>5</v>
      </c>
      <c r="AC19" s="129">
        <v>5</v>
      </c>
      <c r="AD19" s="129">
        <v>5</v>
      </c>
      <c r="AE19" s="129">
        <v>5</v>
      </c>
      <c r="AF19" s="129">
        <v>5</v>
      </c>
      <c r="AG19" s="129">
        <v>5</v>
      </c>
      <c r="AH19" s="129">
        <v>5</v>
      </c>
      <c r="AI19" s="125" t="s">
        <v>17</v>
      </c>
      <c r="AJ19" s="129">
        <v>5</v>
      </c>
      <c r="AK19" s="129">
        <v>5</v>
      </c>
      <c r="AL19" s="129">
        <v>1</v>
      </c>
      <c r="AM19" s="129">
        <v>5</v>
      </c>
      <c r="AN19" s="129">
        <v>5</v>
      </c>
      <c r="AO19" s="129">
        <v>5</v>
      </c>
      <c r="AP19" s="129">
        <v>3</v>
      </c>
      <c r="AQ19" s="129">
        <v>5</v>
      </c>
      <c r="AR19" s="129">
        <v>5</v>
      </c>
      <c r="AS19" s="129">
        <v>5</v>
      </c>
      <c r="AT19" s="129">
        <v>5</v>
      </c>
      <c r="AU19" s="129">
        <v>5</v>
      </c>
      <c r="AV19" s="129">
        <v>5</v>
      </c>
      <c r="AW19" s="129">
        <v>5</v>
      </c>
      <c r="AX19" s="129">
        <v>5</v>
      </c>
      <c r="AY19" s="129">
        <v>1</v>
      </c>
      <c r="AZ19" s="129">
        <v>2</v>
      </c>
      <c r="BA19" s="129">
        <v>1</v>
      </c>
      <c r="BB19" s="129">
        <v>1</v>
      </c>
      <c r="BC19" s="129">
        <v>5</v>
      </c>
      <c r="BD19" s="129">
        <v>5</v>
      </c>
      <c r="BE19" s="129">
        <v>5</v>
      </c>
      <c r="BF19" s="129">
        <v>0</v>
      </c>
      <c r="BG19" s="129">
        <v>0</v>
      </c>
      <c r="BH19" s="125"/>
      <c r="BI19" s="129">
        <v>2</v>
      </c>
      <c r="BJ19" s="125" t="s">
        <v>193</v>
      </c>
      <c r="BK19" s="125" t="s">
        <v>197</v>
      </c>
      <c r="BL19" s="125" t="s">
        <v>17</v>
      </c>
      <c r="BM19" s="125" t="s">
        <v>20</v>
      </c>
      <c r="BN19" s="125"/>
      <c r="BO19" s="125"/>
      <c r="BP19" s="129"/>
      <c r="BQ19" s="129"/>
      <c r="BR19" s="125"/>
      <c r="BS19" s="129"/>
      <c r="BT19" s="129"/>
      <c r="BU19" s="125"/>
      <c r="BV19" s="125"/>
      <c r="BW19" s="125"/>
      <c r="BX19" s="125"/>
      <c r="BY19" s="125"/>
      <c r="BZ19" s="129"/>
      <c r="CA19" s="125"/>
      <c r="CB19" s="129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9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</row>
    <row r="20" spans="1:113" ht="13.5" customHeight="1">
      <c r="A20" s="128">
        <v>43591.358937881945</v>
      </c>
      <c r="B20" s="125" t="s">
        <v>297</v>
      </c>
      <c r="C20" s="125" t="s">
        <v>11</v>
      </c>
      <c r="D20" s="125" t="s">
        <v>19</v>
      </c>
      <c r="E20" s="125" t="s">
        <v>20</v>
      </c>
      <c r="F20" s="125" t="s">
        <v>24</v>
      </c>
      <c r="G20" s="125" t="s">
        <v>29</v>
      </c>
      <c r="H20" s="125" t="s">
        <v>38</v>
      </c>
      <c r="I20" s="125" t="s">
        <v>44</v>
      </c>
      <c r="J20" s="125" t="s">
        <v>48</v>
      </c>
      <c r="K20" s="125" t="s">
        <v>58</v>
      </c>
      <c r="L20" s="125" t="s">
        <v>57</v>
      </c>
      <c r="M20" s="129">
        <v>5</v>
      </c>
      <c r="N20" s="129">
        <v>4</v>
      </c>
      <c r="O20" s="129">
        <v>3</v>
      </c>
      <c r="P20" s="129">
        <v>5</v>
      </c>
      <c r="Q20" s="129">
        <v>5</v>
      </c>
      <c r="R20" s="129">
        <v>5</v>
      </c>
      <c r="S20" s="129">
        <v>5</v>
      </c>
      <c r="T20" s="129">
        <v>2</v>
      </c>
      <c r="U20" s="129">
        <v>5</v>
      </c>
      <c r="V20" s="129">
        <v>5</v>
      </c>
      <c r="W20" s="129">
        <v>5</v>
      </c>
      <c r="X20" s="129">
        <v>4</v>
      </c>
      <c r="Y20" s="129">
        <v>5</v>
      </c>
      <c r="Z20" s="129">
        <v>1</v>
      </c>
      <c r="AA20" s="129">
        <v>5</v>
      </c>
      <c r="AB20" s="129">
        <v>5</v>
      </c>
      <c r="AC20" s="129">
        <v>5</v>
      </c>
      <c r="AD20" s="129">
        <v>5</v>
      </c>
      <c r="AE20" s="129">
        <v>5</v>
      </c>
      <c r="AF20" s="129">
        <v>5</v>
      </c>
      <c r="AG20" s="129">
        <v>5</v>
      </c>
      <c r="AH20" s="129">
        <v>5</v>
      </c>
      <c r="AI20" s="125" t="s">
        <v>17</v>
      </c>
      <c r="AJ20" s="129">
        <v>5</v>
      </c>
      <c r="AK20" s="129">
        <v>5</v>
      </c>
      <c r="AL20" s="129">
        <v>1</v>
      </c>
      <c r="AM20" s="129">
        <v>5</v>
      </c>
      <c r="AN20" s="129">
        <v>5</v>
      </c>
      <c r="AO20" s="129">
        <v>5</v>
      </c>
      <c r="AP20" s="129">
        <v>5</v>
      </c>
      <c r="AQ20" s="129">
        <v>5</v>
      </c>
      <c r="AR20" s="129">
        <v>5</v>
      </c>
      <c r="AS20" s="129">
        <v>5</v>
      </c>
      <c r="AT20" s="129">
        <v>5</v>
      </c>
      <c r="AU20" s="129">
        <v>5</v>
      </c>
      <c r="AV20" s="129">
        <v>5</v>
      </c>
      <c r="AW20" s="129">
        <v>5</v>
      </c>
      <c r="AX20" s="129">
        <v>5</v>
      </c>
      <c r="AY20" s="129">
        <v>1</v>
      </c>
      <c r="AZ20" s="129">
        <v>2</v>
      </c>
      <c r="BA20" s="129">
        <v>1</v>
      </c>
      <c r="BB20" s="129">
        <v>1</v>
      </c>
      <c r="BC20" s="129">
        <v>1</v>
      </c>
      <c r="BD20" s="129">
        <v>1</v>
      </c>
      <c r="BE20" s="125" t="s">
        <v>303</v>
      </c>
      <c r="BF20" s="125" t="s">
        <v>293</v>
      </c>
      <c r="BG20" s="129">
        <v>20</v>
      </c>
      <c r="BH20" s="125" t="s">
        <v>304</v>
      </c>
      <c r="BI20" s="129">
        <v>2</v>
      </c>
      <c r="BJ20" s="125" t="s">
        <v>195</v>
      </c>
      <c r="BK20" s="125" t="s">
        <v>197</v>
      </c>
      <c r="BL20" s="125" t="s">
        <v>17</v>
      </c>
      <c r="BM20" s="125" t="s">
        <v>20</v>
      </c>
      <c r="BN20" s="125"/>
      <c r="BO20" s="125"/>
      <c r="BP20" s="129"/>
      <c r="BQ20" s="129"/>
      <c r="BR20" s="125"/>
      <c r="BS20" s="129"/>
      <c r="BT20" s="129"/>
      <c r="BU20" s="125"/>
      <c r="BV20" s="125"/>
      <c r="BW20" s="125"/>
      <c r="BX20" s="125"/>
      <c r="BY20" s="125"/>
      <c r="BZ20" s="129"/>
      <c r="CA20" s="125"/>
      <c r="CB20" s="129"/>
      <c r="CC20" s="125"/>
      <c r="CD20" s="125"/>
      <c r="CE20" s="125"/>
      <c r="CF20" s="125"/>
      <c r="CG20" s="125"/>
      <c r="CH20" s="125"/>
      <c r="CI20" s="125"/>
      <c r="CJ20" s="125"/>
      <c r="CK20" s="125"/>
      <c r="CL20" s="125"/>
      <c r="CM20" s="125"/>
      <c r="CN20" s="129"/>
      <c r="CO20" s="125"/>
      <c r="CP20" s="125"/>
      <c r="CQ20" s="125"/>
      <c r="CR20" s="125"/>
      <c r="CS20" s="125"/>
      <c r="CT20" s="125"/>
      <c r="CU20" s="125"/>
      <c r="CV20" s="125"/>
      <c r="CW20" s="125"/>
      <c r="CX20" s="125"/>
      <c r="CY20" s="125"/>
      <c r="CZ20" s="125"/>
      <c r="DA20" s="125"/>
      <c r="DB20" s="125"/>
      <c r="DC20" s="125"/>
      <c r="DD20" s="125"/>
      <c r="DE20" s="125"/>
      <c r="DF20" s="125"/>
      <c r="DG20" s="125"/>
      <c r="DH20" s="125"/>
      <c r="DI20" s="125"/>
    </row>
    <row r="21" spans="1:113" ht="12.75">
      <c r="A21" s="128">
        <v>43591.360511099541</v>
      </c>
      <c r="B21" s="125" t="s">
        <v>291</v>
      </c>
      <c r="C21" s="125" t="s">
        <v>9</v>
      </c>
      <c r="D21" s="125" t="s">
        <v>19</v>
      </c>
      <c r="E21" s="125" t="s">
        <v>17</v>
      </c>
      <c r="F21" s="125" t="s">
        <v>26</v>
      </c>
      <c r="G21" s="125" t="s">
        <v>32</v>
      </c>
      <c r="H21" s="125" t="s">
        <v>39</v>
      </c>
      <c r="I21" s="125" t="s">
        <v>47</v>
      </c>
      <c r="J21" s="125" t="s">
        <v>48</v>
      </c>
      <c r="K21" s="125" t="s">
        <v>58</v>
      </c>
      <c r="L21" s="125" t="s">
        <v>58</v>
      </c>
      <c r="M21" s="129">
        <v>5</v>
      </c>
      <c r="N21" s="129">
        <v>5</v>
      </c>
      <c r="O21" s="129">
        <v>5</v>
      </c>
      <c r="P21" s="129">
        <v>5</v>
      </c>
      <c r="Q21" s="129">
        <v>5</v>
      </c>
      <c r="R21" s="129">
        <v>5</v>
      </c>
      <c r="S21" s="129">
        <v>5</v>
      </c>
      <c r="T21" s="129">
        <v>5</v>
      </c>
      <c r="U21" s="129">
        <v>5</v>
      </c>
      <c r="V21" s="129">
        <v>5</v>
      </c>
      <c r="W21" s="129">
        <v>5</v>
      </c>
      <c r="X21" s="129">
        <v>9</v>
      </c>
      <c r="Y21" s="129">
        <v>5</v>
      </c>
      <c r="Z21" s="129">
        <v>5</v>
      </c>
      <c r="AA21" s="129">
        <v>5</v>
      </c>
      <c r="AB21" s="129">
        <v>5</v>
      </c>
      <c r="AC21" s="129">
        <v>5</v>
      </c>
      <c r="AD21" s="129">
        <v>5</v>
      </c>
      <c r="AE21" s="129">
        <v>5</v>
      </c>
      <c r="AF21" s="129">
        <v>5</v>
      </c>
      <c r="AG21" s="129">
        <v>5</v>
      </c>
      <c r="AH21" s="129">
        <v>5</v>
      </c>
      <c r="AI21" s="125" t="s">
        <v>17</v>
      </c>
      <c r="AJ21" s="129">
        <v>5</v>
      </c>
      <c r="AK21" s="129">
        <v>5</v>
      </c>
      <c r="AL21" s="129">
        <v>5</v>
      </c>
      <c r="AM21" s="129">
        <v>5</v>
      </c>
      <c r="AN21" s="129">
        <v>5</v>
      </c>
      <c r="AO21" s="129">
        <v>5</v>
      </c>
      <c r="AP21" s="129">
        <v>5</v>
      </c>
      <c r="AQ21" s="129">
        <v>5</v>
      </c>
      <c r="AR21" s="129">
        <v>5</v>
      </c>
      <c r="AS21" s="129">
        <v>5</v>
      </c>
      <c r="AT21" s="129">
        <v>5</v>
      </c>
      <c r="AU21" s="129">
        <v>5</v>
      </c>
      <c r="AV21" s="129">
        <v>5</v>
      </c>
      <c r="AW21" s="129">
        <v>5</v>
      </c>
      <c r="AX21" s="129">
        <v>5</v>
      </c>
      <c r="AY21" s="129">
        <v>1</v>
      </c>
      <c r="AZ21" s="129">
        <v>2</v>
      </c>
      <c r="BA21" s="129">
        <v>1</v>
      </c>
      <c r="BB21" s="129">
        <v>1</v>
      </c>
      <c r="BC21" s="129">
        <v>5</v>
      </c>
      <c r="BD21" s="129">
        <v>5</v>
      </c>
      <c r="BE21" s="129">
        <v>30</v>
      </c>
      <c r="BF21" s="129">
        <v>0</v>
      </c>
      <c r="BG21" s="129">
        <v>0</v>
      </c>
      <c r="BH21" s="125"/>
      <c r="BI21" s="129">
        <v>1</v>
      </c>
      <c r="BJ21" s="125" t="s">
        <v>195</v>
      </c>
      <c r="BK21" s="125" t="s">
        <v>197</v>
      </c>
      <c r="BL21" s="125" t="s">
        <v>17</v>
      </c>
      <c r="BM21" s="125" t="s">
        <v>17</v>
      </c>
      <c r="BN21" s="129">
        <v>5</v>
      </c>
      <c r="BO21" s="125" t="s">
        <v>305</v>
      </c>
      <c r="BP21" s="129"/>
      <c r="BQ21" s="129"/>
      <c r="BR21" s="125"/>
      <c r="BS21" s="129"/>
      <c r="BT21" s="129"/>
      <c r="BU21" s="125"/>
      <c r="BV21" s="125"/>
      <c r="BW21" s="125"/>
      <c r="BX21" s="125"/>
      <c r="BY21" s="125"/>
      <c r="BZ21" s="129"/>
      <c r="CA21" s="125"/>
      <c r="CB21" s="129"/>
      <c r="CC21" s="125"/>
      <c r="CD21" s="125"/>
      <c r="CE21" s="125"/>
      <c r="CF21" s="125"/>
      <c r="CG21" s="125"/>
      <c r="CH21" s="125"/>
      <c r="CI21" s="125"/>
      <c r="CJ21" s="125"/>
      <c r="CK21" s="125"/>
      <c r="CL21" s="125"/>
      <c r="CM21" s="125"/>
      <c r="CN21" s="129"/>
      <c r="CO21" s="125"/>
      <c r="CP21" s="125"/>
      <c r="CQ21" s="125"/>
      <c r="CR21" s="125"/>
      <c r="CS21" s="125"/>
      <c r="CT21" s="125"/>
      <c r="CU21" s="125"/>
      <c r="CV21" s="125"/>
      <c r="CW21" s="125"/>
      <c r="CX21" s="125"/>
      <c r="CY21" s="125"/>
      <c r="CZ21" s="125"/>
      <c r="DA21" s="125"/>
      <c r="DB21" s="125"/>
      <c r="DC21" s="125"/>
      <c r="DD21" s="125"/>
      <c r="DE21" s="125"/>
      <c r="DF21" s="125"/>
      <c r="DG21" s="125"/>
      <c r="DH21" s="125"/>
      <c r="DI21" s="125"/>
    </row>
    <row r="22" spans="1:113" ht="13.5" customHeight="1">
      <c r="A22" s="128">
        <v>43591.362151273148</v>
      </c>
      <c r="B22" s="125" t="s">
        <v>13</v>
      </c>
      <c r="C22" s="125" t="s">
        <v>11</v>
      </c>
      <c r="D22" s="125" t="s">
        <v>19</v>
      </c>
      <c r="E22" s="125" t="s">
        <v>20</v>
      </c>
      <c r="F22" s="125" t="s">
        <v>24</v>
      </c>
      <c r="G22" s="125" t="s">
        <v>31</v>
      </c>
      <c r="H22" s="125" t="s">
        <v>21</v>
      </c>
      <c r="I22" s="125"/>
      <c r="J22" s="125" t="s">
        <v>21</v>
      </c>
      <c r="K22" s="125" t="s">
        <v>298</v>
      </c>
      <c r="L22" s="125" t="s">
        <v>55</v>
      </c>
      <c r="M22" s="129">
        <v>9</v>
      </c>
      <c r="N22" s="129">
        <v>3</v>
      </c>
      <c r="O22" s="129">
        <v>3</v>
      </c>
      <c r="P22" s="129">
        <v>5</v>
      </c>
      <c r="Q22" s="129">
        <v>9</v>
      </c>
      <c r="R22" s="129">
        <v>9</v>
      </c>
      <c r="S22" s="129">
        <v>5</v>
      </c>
      <c r="T22" s="129">
        <v>3</v>
      </c>
      <c r="U22" s="129">
        <v>5</v>
      </c>
      <c r="V22" s="129">
        <v>5</v>
      </c>
      <c r="W22" s="129">
        <v>5</v>
      </c>
      <c r="X22" s="129">
        <v>9</v>
      </c>
      <c r="Y22" s="129">
        <v>5</v>
      </c>
      <c r="Z22" s="129">
        <v>5</v>
      </c>
      <c r="AA22" s="129">
        <v>5</v>
      </c>
      <c r="AB22" s="129">
        <v>5</v>
      </c>
      <c r="AC22" s="129">
        <v>9</v>
      </c>
      <c r="AD22" s="129">
        <v>5</v>
      </c>
      <c r="AE22" s="129">
        <v>5</v>
      </c>
      <c r="AF22" s="129">
        <v>5</v>
      </c>
      <c r="AG22" s="129">
        <v>5</v>
      </c>
      <c r="AH22" s="129">
        <v>3</v>
      </c>
      <c r="AI22" s="125" t="s">
        <v>20</v>
      </c>
      <c r="AJ22" s="129">
        <v>9</v>
      </c>
      <c r="AK22" s="129">
        <v>5</v>
      </c>
      <c r="AL22" s="129">
        <v>9</v>
      </c>
      <c r="AM22" s="129">
        <v>5</v>
      </c>
      <c r="AN22" s="129">
        <v>5</v>
      </c>
      <c r="AO22" s="129">
        <v>5</v>
      </c>
      <c r="AP22" s="129">
        <v>9</v>
      </c>
      <c r="AQ22" s="129">
        <v>9</v>
      </c>
      <c r="AR22" s="129">
        <v>9</v>
      </c>
      <c r="AS22" s="129">
        <v>9</v>
      </c>
      <c r="AT22" s="129">
        <v>9</v>
      </c>
      <c r="AU22" s="129">
        <v>9</v>
      </c>
      <c r="AV22" s="129">
        <v>9</v>
      </c>
      <c r="AW22" s="129">
        <v>9</v>
      </c>
      <c r="AX22" s="129">
        <v>9</v>
      </c>
      <c r="AY22" s="129">
        <v>9</v>
      </c>
      <c r="AZ22" s="129">
        <v>9</v>
      </c>
      <c r="BA22" s="129">
        <v>9</v>
      </c>
      <c r="BB22" s="129">
        <v>9</v>
      </c>
      <c r="BC22" s="129">
        <v>9</v>
      </c>
      <c r="BD22" s="129">
        <v>9</v>
      </c>
      <c r="BE22" s="125" t="s">
        <v>293</v>
      </c>
      <c r="BF22" s="125" t="s">
        <v>293</v>
      </c>
      <c r="BG22" s="125" t="s">
        <v>293</v>
      </c>
      <c r="BH22" s="129">
        <v>9</v>
      </c>
      <c r="BI22" s="129">
        <v>2</v>
      </c>
      <c r="BJ22" s="125" t="s">
        <v>195</v>
      </c>
      <c r="BK22" s="125" t="s">
        <v>200</v>
      </c>
      <c r="BL22" s="125" t="s">
        <v>17</v>
      </c>
      <c r="BM22" s="125" t="s">
        <v>20</v>
      </c>
      <c r="BN22" s="125"/>
      <c r="BO22" s="125"/>
      <c r="BP22" s="129"/>
      <c r="BQ22" s="129"/>
      <c r="BR22" s="125"/>
      <c r="BS22" s="129"/>
      <c r="BT22" s="129"/>
      <c r="BU22" s="125"/>
      <c r="BV22" s="125"/>
      <c r="BW22" s="125"/>
      <c r="BX22" s="125"/>
      <c r="BY22" s="125"/>
      <c r="BZ22" s="129"/>
      <c r="CA22" s="125"/>
      <c r="CB22" s="129"/>
      <c r="CC22" s="125"/>
      <c r="CD22" s="125"/>
      <c r="CE22" s="125"/>
      <c r="CF22" s="125"/>
      <c r="CG22" s="125"/>
      <c r="CH22" s="125"/>
      <c r="CI22" s="125"/>
      <c r="CJ22" s="125"/>
      <c r="CK22" s="125"/>
      <c r="CL22" s="125"/>
      <c r="CM22" s="125"/>
      <c r="CN22" s="129"/>
      <c r="CO22" s="125"/>
      <c r="CP22" s="125"/>
      <c r="CQ22" s="125"/>
      <c r="CR22" s="125"/>
      <c r="CS22" s="125"/>
      <c r="CT22" s="125"/>
      <c r="CU22" s="125"/>
      <c r="CV22" s="125"/>
      <c r="CW22" s="125"/>
      <c r="CX22" s="125"/>
      <c r="CY22" s="125"/>
      <c r="CZ22" s="125"/>
      <c r="DA22" s="125"/>
      <c r="DB22" s="125"/>
      <c r="DC22" s="125"/>
      <c r="DD22" s="125"/>
      <c r="DE22" s="125"/>
      <c r="DF22" s="125"/>
      <c r="DG22" s="125"/>
      <c r="DH22" s="125"/>
      <c r="DI22" s="125"/>
    </row>
    <row r="23" spans="1:113" ht="12.75">
      <c r="A23" s="128">
        <v>43591.36369194444</v>
      </c>
      <c r="B23" s="125" t="s">
        <v>291</v>
      </c>
      <c r="C23" s="125" t="s">
        <v>9</v>
      </c>
      <c r="D23" s="125" t="s">
        <v>19</v>
      </c>
      <c r="E23" s="125" t="s">
        <v>17</v>
      </c>
      <c r="F23" s="125" t="s">
        <v>26</v>
      </c>
      <c r="G23" s="125" t="s">
        <v>32</v>
      </c>
      <c r="H23" s="125" t="s">
        <v>39</v>
      </c>
      <c r="I23" s="125" t="s">
        <v>47</v>
      </c>
      <c r="J23" s="125" t="s">
        <v>21</v>
      </c>
      <c r="K23" s="125" t="s">
        <v>58</v>
      </c>
      <c r="L23" s="125" t="s">
        <v>57</v>
      </c>
      <c r="M23" s="129">
        <v>5</v>
      </c>
      <c r="N23" s="129">
        <v>5</v>
      </c>
      <c r="O23" s="129">
        <v>2</v>
      </c>
      <c r="P23" s="129">
        <v>5</v>
      </c>
      <c r="Q23" s="129">
        <v>9</v>
      </c>
      <c r="R23" s="129">
        <v>2</v>
      </c>
      <c r="S23" s="129">
        <v>5</v>
      </c>
      <c r="T23" s="129">
        <v>4</v>
      </c>
      <c r="U23" s="129">
        <v>5</v>
      </c>
      <c r="V23" s="129">
        <v>3</v>
      </c>
      <c r="W23" s="129">
        <v>1</v>
      </c>
      <c r="X23" s="129">
        <v>9</v>
      </c>
      <c r="Y23" s="129">
        <v>3</v>
      </c>
      <c r="Z23" s="129">
        <v>5</v>
      </c>
      <c r="AA23" s="129">
        <v>4</v>
      </c>
      <c r="AB23" s="129">
        <v>4</v>
      </c>
      <c r="AC23" s="129">
        <v>2</v>
      </c>
      <c r="AD23" s="129">
        <v>5</v>
      </c>
      <c r="AE23" s="129">
        <v>5</v>
      </c>
      <c r="AF23" s="129">
        <v>5</v>
      </c>
      <c r="AG23" s="129">
        <v>5</v>
      </c>
      <c r="AH23" s="129">
        <v>5</v>
      </c>
      <c r="AI23" s="125" t="s">
        <v>17</v>
      </c>
      <c r="AJ23" s="129">
        <v>4</v>
      </c>
      <c r="AK23" s="129">
        <v>5</v>
      </c>
      <c r="AL23" s="129">
        <v>4</v>
      </c>
      <c r="AM23" s="129">
        <v>4</v>
      </c>
      <c r="AN23" s="129">
        <v>3</v>
      </c>
      <c r="AO23" s="129">
        <v>4</v>
      </c>
      <c r="AP23" s="129">
        <v>1</v>
      </c>
      <c r="AQ23" s="129">
        <v>5</v>
      </c>
      <c r="AR23" s="129">
        <v>3</v>
      </c>
      <c r="AS23" s="129">
        <v>5</v>
      </c>
      <c r="AT23" s="129">
        <v>3</v>
      </c>
      <c r="AU23" s="129">
        <v>3</v>
      </c>
      <c r="AV23" s="129">
        <v>3</v>
      </c>
      <c r="AW23" s="129">
        <v>3</v>
      </c>
      <c r="AX23" s="129">
        <v>4</v>
      </c>
      <c r="AY23" s="129">
        <v>1</v>
      </c>
      <c r="AZ23" s="129">
        <v>2</v>
      </c>
      <c r="BA23" s="129">
        <v>1</v>
      </c>
      <c r="BB23" s="129">
        <v>2</v>
      </c>
      <c r="BC23" s="129">
        <v>3</v>
      </c>
      <c r="BD23" s="129">
        <v>3</v>
      </c>
      <c r="BE23" s="125" t="s">
        <v>293</v>
      </c>
      <c r="BF23" s="125" t="s">
        <v>293</v>
      </c>
      <c r="BG23" s="125" t="s">
        <v>293</v>
      </c>
      <c r="BH23" s="125"/>
      <c r="BI23" s="129">
        <v>1</v>
      </c>
      <c r="BJ23" s="125" t="s">
        <v>195</v>
      </c>
      <c r="BK23" s="125" t="s">
        <v>200</v>
      </c>
      <c r="BL23" s="125" t="s">
        <v>294</v>
      </c>
      <c r="BM23" s="125" t="s">
        <v>20</v>
      </c>
      <c r="BN23" s="125"/>
      <c r="BO23" s="125"/>
      <c r="BP23" s="129"/>
      <c r="BQ23" s="129"/>
      <c r="BR23" s="125"/>
      <c r="BS23" s="129"/>
      <c r="BT23" s="129"/>
      <c r="BU23" s="125"/>
      <c r="BV23" s="125"/>
      <c r="BW23" s="125"/>
      <c r="BX23" s="125"/>
      <c r="BY23" s="125"/>
      <c r="BZ23" s="129"/>
      <c r="CA23" s="125"/>
      <c r="CB23" s="129"/>
      <c r="CC23" s="125"/>
      <c r="CD23" s="125"/>
      <c r="CE23" s="125"/>
      <c r="CF23" s="125"/>
      <c r="CG23" s="125"/>
      <c r="CH23" s="125"/>
      <c r="CI23" s="125"/>
      <c r="CJ23" s="125"/>
      <c r="CK23" s="125"/>
      <c r="CL23" s="125"/>
      <c r="CM23" s="125"/>
      <c r="CN23" s="129"/>
      <c r="CO23" s="125"/>
      <c r="CP23" s="125"/>
      <c r="CQ23" s="125"/>
      <c r="CR23" s="125"/>
      <c r="CS23" s="125"/>
      <c r="CT23" s="125"/>
      <c r="CU23" s="125"/>
      <c r="CV23" s="125"/>
      <c r="CW23" s="125"/>
      <c r="CX23" s="125"/>
      <c r="CY23" s="125"/>
      <c r="CZ23" s="125"/>
      <c r="DA23" s="125"/>
      <c r="DB23" s="125"/>
      <c r="DC23" s="125"/>
      <c r="DD23" s="125"/>
      <c r="DE23" s="125"/>
      <c r="DF23" s="125"/>
      <c r="DG23" s="125"/>
      <c r="DH23" s="125"/>
      <c r="DI23" s="125"/>
    </row>
    <row r="24" spans="1:113" ht="12.75">
      <c r="A24" s="128">
        <v>43591.365220034721</v>
      </c>
      <c r="B24" s="125" t="s">
        <v>291</v>
      </c>
      <c r="C24" s="125" t="s">
        <v>9</v>
      </c>
      <c r="D24" s="125" t="s">
        <v>19</v>
      </c>
      <c r="E24" s="125" t="s">
        <v>17</v>
      </c>
      <c r="F24" s="125" t="s">
        <v>24</v>
      </c>
      <c r="G24" s="125" t="s">
        <v>31</v>
      </c>
      <c r="H24" s="125" t="s">
        <v>21</v>
      </c>
      <c r="I24" s="125" t="s">
        <v>47</v>
      </c>
      <c r="J24" s="125" t="s">
        <v>21</v>
      </c>
      <c r="K24" s="125" t="s">
        <v>58</v>
      </c>
      <c r="L24" s="125" t="s">
        <v>55</v>
      </c>
      <c r="M24" s="129">
        <v>5</v>
      </c>
      <c r="N24" s="129">
        <v>3</v>
      </c>
      <c r="O24" s="129">
        <v>3</v>
      </c>
      <c r="P24" s="129">
        <v>5</v>
      </c>
      <c r="Q24" s="129">
        <v>9</v>
      </c>
      <c r="R24" s="129">
        <v>4</v>
      </c>
      <c r="S24" s="129">
        <v>5</v>
      </c>
      <c r="T24" s="129">
        <v>5</v>
      </c>
      <c r="U24" s="129">
        <v>5</v>
      </c>
      <c r="V24" s="129">
        <v>5</v>
      </c>
      <c r="W24" s="129">
        <v>5</v>
      </c>
      <c r="X24" s="129">
        <v>9</v>
      </c>
      <c r="Y24" s="129">
        <v>4</v>
      </c>
      <c r="Z24" s="129">
        <v>5</v>
      </c>
      <c r="AA24" s="129">
        <v>5</v>
      </c>
      <c r="AB24" s="129">
        <v>5</v>
      </c>
      <c r="AC24" s="129">
        <v>5</v>
      </c>
      <c r="AD24" s="129">
        <v>5</v>
      </c>
      <c r="AE24" s="129">
        <v>5</v>
      </c>
      <c r="AF24" s="129">
        <v>5</v>
      </c>
      <c r="AG24" s="129">
        <v>5</v>
      </c>
      <c r="AH24" s="129">
        <v>5</v>
      </c>
      <c r="AI24" s="125" t="s">
        <v>20</v>
      </c>
      <c r="AJ24" s="129">
        <v>5</v>
      </c>
      <c r="AK24" s="129">
        <v>5</v>
      </c>
      <c r="AL24" s="129">
        <v>2</v>
      </c>
      <c r="AM24" s="129">
        <v>5</v>
      </c>
      <c r="AN24" s="129">
        <v>5</v>
      </c>
      <c r="AO24" s="129">
        <v>5</v>
      </c>
      <c r="AP24" s="129">
        <v>4</v>
      </c>
      <c r="AQ24" s="129">
        <v>4</v>
      </c>
      <c r="AR24" s="129">
        <v>5</v>
      </c>
      <c r="AS24" s="129">
        <v>9</v>
      </c>
      <c r="AT24" s="129">
        <v>5</v>
      </c>
      <c r="AU24" s="129">
        <v>5</v>
      </c>
      <c r="AV24" s="129">
        <v>5</v>
      </c>
      <c r="AW24" s="129">
        <v>5</v>
      </c>
      <c r="AX24" s="129">
        <v>5</v>
      </c>
      <c r="AY24" s="129">
        <v>9</v>
      </c>
      <c r="AZ24" s="129">
        <v>9</v>
      </c>
      <c r="BA24" s="129">
        <v>9</v>
      </c>
      <c r="BB24" s="129">
        <v>9</v>
      </c>
      <c r="BC24" s="129">
        <v>5</v>
      </c>
      <c r="BD24" s="129">
        <v>9</v>
      </c>
      <c r="BE24" s="125" t="s">
        <v>293</v>
      </c>
      <c r="BF24" s="125" t="s">
        <v>293</v>
      </c>
      <c r="BG24" s="125" t="s">
        <v>293</v>
      </c>
      <c r="BH24" s="125"/>
      <c r="BI24" s="129">
        <v>9</v>
      </c>
      <c r="BJ24" s="125" t="s">
        <v>294</v>
      </c>
      <c r="BK24" s="125" t="s">
        <v>197</v>
      </c>
      <c r="BL24" s="125" t="s">
        <v>17</v>
      </c>
      <c r="BM24" s="125" t="s">
        <v>20</v>
      </c>
      <c r="BN24" s="125"/>
      <c r="BO24" s="125"/>
      <c r="BP24" s="129"/>
      <c r="BQ24" s="129"/>
      <c r="BR24" s="125"/>
      <c r="BS24" s="129"/>
      <c r="BT24" s="129"/>
      <c r="BU24" s="125"/>
      <c r="BV24" s="125"/>
      <c r="BW24" s="125"/>
      <c r="BX24" s="125"/>
      <c r="BY24" s="125"/>
      <c r="BZ24" s="129"/>
      <c r="CA24" s="125"/>
      <c r="CB24" s="125"/>
      <c r="CC24" s="125"/>
      <c r="CD24" s="125"/>
      <c r="CE24" s="125"/>
      <c r="CF24" s="125"/>
      <c r="CG24" s="125"/>
      <c r="CH24" s="125"/>
      <c r="CI24" s="125"/>
      <c r="CJ24" s="125"/>
      <c r="CK24" s="125"/>
      <c r="CL24" s="125"/>
      <c r="CM24" s="125"/>
      <c r="CN24" s="129"/>
      <c r="CO24" s="125"/>
      <c r="CP24" s="125"/>
      <c r="CQ24" s="125"/>
      <c r="CR24" s="125"/>
      <c r="CS24" s="125"/>
      <c r="CT24" s="125"/>
      <c r="CU24" s="125"/>
      <c r="CV24" s="125"/>
      <c r="CW24" s="125"/>
      <c r="CX24" s="125"/>
      <c r="CY24" s="125"/>
      <c r="CZ24" s="125"/>
      <c r="DA24" s="125"/>
      <c r="DB24" s="125"/>
      <c r="DC24" s="125"/>
      <c r="DD24" s="125"/>
      <c r="DE24" s="125"/>
      <c r="DF24" s="125"/>
      <c r="DG24" s="125"/>
      <c r="DH24" s="125"/>
      <c r="DI24" s="125"/>
    </row>
    <row r="25" spans="1:113" ht="12.75">
      <c r="A25" s="128">
        <v>43591.366616967593</v>
      </c>
      <c r="B25" s="125" t="s">
        <v>297</v>
      </c>
      <c r="C25" s="125" t="s">
        <v>9</v>
      </c>
      <c r="D25" s="125" t="s">
        <v>19</v>
      </c>
      <c r="E25" s="125" t="s">
        <v>20</v>
      </c>
      <c r="F25" s="125" t="s">
        <v>24</v>
      </c>
      <c r="G25" s="125" t="s">
        <v>31</v>
      </c>
      <c r="H25" s="125" t="s">
        <v>40</v>
      </c>
      <c r="I25" s="125" t="s">
        <v>49</v>
      </c>
      <c r="J25" s="125" t="s">
        <v>45</v>
      </c>
      <c r="K25" s="125" t="s">
        <v>298</v>
      </c>
      <c r="L25" s="125" t="s">
        <v>57</v>
      </c>
      <c r="M25" s="129">
        <v>4</v>
      </c>
      <c r="N25" s="129">
        <v>3</v>
      </c>
      <c r="O25" s="129">
        <v>2</v>
      </c>
      <c r="P25" s="129">
        <v>5</v>
      </c>
      <c r="Q25" s="129">
        <v>9</v>
      </c>
      <c r="R25" s="129">
        <v>5</v>
      </c>
      <c r="S25" s="129">
        <v>5</v>
      </c>
      <c r="T25" s="129">
        <v>4</v>
      </c>
      <c r="U25" s="129">
        <v>9</v>
      </c>
      <c r="V25" s="129">
        <v>9</v>
      </c>
      <c r="W25" s="129">
        <v>9</v>
      </c>
      <c r="X25" s="129">
        <v>9</v>
      </c>
      <c r="Y25" s="129">
        <v>4</v>
      </c>
      <c r="Z25" s="129">
        <v>5</v>
      </c>
      <c r="AA25" s="129">
        <v>4</v>
      </c>
      <c r="AB25" s="129">
        <v>4</v>
      </c>
      <c r="AC25" s="129">
        <v>4</v>
      </c>
      <c r="AD25" s="129">
        <v>4</v>
      </c>
      <c r="AE25" s="129">
        <v>5</v>
      </c>
      <c r="AF25" s="129">
        <v>4</v>
      </c>
      <c r="AG25" s="129">
        <v>4</v>
      </c>
      <c r="AH25" s="129">
        <v>4</v>
      </c>
      <c r="AI25" s="125" t="s">
        <v>20</v>
      </c>
      <c r="AJ25" s="129">
        <v>9</v>
      </c>
      <c r="AK25" s="129">
        <v>9</v>
      </c>
      <c r="AL25" s="129">
        <v>9</v>
      </c>
      <c r="AM25" s="129">
        <v>4</v>
      </c>
      <c r="AN25" s="129">
        <v>4</v>
      </c>
      <c r="AO25" s="129">
        <v>4</v>
      </c>
      <c r="AP25" s="129">
        <v>4</v>
      </c>
      <c r="AQ25" s="129">
        <v>9</v>
      </c>
      <c r="AR25" s="129">
        <v>9</v>
      </c>
      <c r="AS25" s="129">
        <v>9</v>
      </c>
      <c r="AT25" s="129">
        <v>4</v>
      </c>
      <c r="AU25" s="129">
        <v>4</v>
      </c>
      <c r="AV25" s="129">
        <v>4</v>
      </c>
      <c r="AW25" s="129">
        <v>4</v>
      </c>
      <c r="AX25" s="129">
        <v>4</v>
      </c>
      <c r="AY25" s="129">
        <v>9</v>
      </c>
      <c r="AZ25" s="129">
        <v>9</v>
      </c>
      <c r="BA25" s="129">
        <v>9</v>
      </c>
      <c r="BB25" s="129">
        <v>9</v>
      </c>
      <c r="BC25" s="129">
        <v>9</v>
      </c>
      <c r="BD25" s="129">
        <v>9</v>
      </c>
      <c r="BE25" s="129">
        <v>0</v>
      </c>
      <c r="BF25" s="129">
        <v>0</v>
      </c>
      <c r="BG25" s="129">
        <v>0</v>
      </c>
      <c r="BH25" s="125"/>
      <c r="BI25" s="129">
        <v>1</v>
      </c>
      <c r="BJ25" s="131" t="s">
        <v>195</v>
      </c>
      <c r="BK25" s="125" t="s">
        <v>200</v>
      </c>
      <c r="BL25" s="125" t="s">
        <v>20</v>
      </c>
      <c r="BM25" s="125" t="s">
        <v>20</v>
      </c>
      <c r="BN25" s="125"/>
      <c r="BO25" s="125"/>
      <c r="BP25" s="129"/>
      <c r="BQ25" s="129"/>
      <c r="BR25" s="125"/>
      <c r="BS25" s="129"/>
      <c r="BT25" s="129"/>
      <c r="BU25" s="125"/>
      <c r="BV25" s="125"/>
      <c r="BW25" s="125"/>
      <c r="BX25" s="125"/>
      <c r="BY25" s="125"/>
      <c r="BZ25" s="129"/>
      <c r="CA25" s="125"/>
      <c r="CB25" s="129"/>
      <c r="CC25" s="125"/>
      <c r="CD25" s="125"/>
      <c r="CE25" s="125"/>
      <c r="CF25" s="125"/>
      <c r="CG25" s="125"/>
      <c r="CH25" s="125"/>
      <c r="CI25" s="125"/>
      <c r="CJ25" s="125"/>
      <c r="CK25" s="125"/>
      <c r="CL25" s="125"/>
      <c r="CM25" s="125"/>
      <c r="CN25" s="129"/>
      <c r="CO25" s="125"/>
      <c r="CP25" s="125"/>
      <c r="CQ25" s="125"/>
      <c r="CR25" s="125"/>
      <c r="CS25" s="125"/>
      <c r="CT25" s="125"/>
      <c r="CU25" s="125"/>
      <c r="CV25" s="125"/>
      <c r="CW25" s="125"/>
      <c r="CX25" s="125"/>
      <c r="CY25" s="125"/>
      <c r="CZ25" s="125"/>
      <c r="DA25" s="125"/>
      <c r="DB25" s="125"/>
      <c r="DC25" s="125"/>
      <c r="DD25" s="125"/>
      <c r="DE25" s="125"/>
      <c r="DF25" s="125"/>
      <c r="DG25" s="125"/>
      <c r="DH25" s="125"/>
      <c r="DI25" s="125"/>
    </row>
    <row r="26" spans="1:113" ht="12.75">
      <c r="A26" s="128">
        <v>43591.368155370372</v>
      </c>
      <c r="B26" s="125" t="s">
        <v>291</v>
      </c>
      <c r="C26" s="125" t="s">
        <v>9</v>
      </c>
      <c r="D26" s="125" t="s">
        <v>19</v>
      </c>
      <c r="E26" s="125" t="s">
        <v>20</v>
      </c>
      <c r="F26" s="125" t="s">
        <v>24</v>
      </c>
      <c r="G26" s="125" t="s">
        <v>31</v>
      </c>
      <c r="H26" s="125" t="s">
        <v>40</v>
      </c>
      <c r="I26" s="125" t="s">
        <v>44</v>
      </c>
      <c r="J26" s="125" t="s">
        <v>50</v>
      </c>
      <c r="K26" s="125" t="s">
        <v>298</v>
      </c>
      <c r="L26" s="125" t="s">
        <v>55</v>
      </c>
      <c r="M26" s="129">
        <v>5</v>
      </c>
      <c r="N26" s="129">
        <v>4</v>
      </c>
      <c r="O26" s="129">
        <v>9</v>
      </c>
      <c r="P26" s="129">
        <v>5</v>
      </c>
      <c r="Q26" s="129">
        <v>5</v>
      </c>
      <c r="R26" s="129">
        <v>5</v>
      </c>
      <c r="S26" s="129">
        <v>5</v>
      </c>
      <c r="T26" s="129">
        <v>5</v>
      </c>
      <c r="U26" s="129">
        <v>5</v>
      </c>
      <c r="V26" s="129">
        <v>5</v>
      </c>
      <c r="W26" s="129">
        <v>5</v>
      </c>
      <c r="X26" s="129">
        <v>2</v>
      </c>
      <c r="Y26" s="129">
        <v>5</v>
      </c>
      <c r="Z26" s="129">
        <v>5</v>
      </c>
      <c r="AA26" s="129">
        <v>5</v>
      </c>
      <c r="AB26" s="129">
        <v>5</v>
      </c>
      <c r="AC26" s="129">
        <v>5</v>
      </c>
      <c r="AD26" s="129">
        <v>5</v>
      </c>
      <c r="AE26" s="129">
        <v>5</v>
      </c>
      <c r="AF26" s="129">
        <v>4</v>
      </c>
      <c r="AG26" s="129">
        <v>5</v>
      </c>
      <c r="AH26" s="129">
        <v>4</v>
      </c>
      <c r="AI26" s="125" t="s">
        <v>17</v>
      </c>
      <c r="AJ26" s="129">
        <v>4</v>
      </c>
      <c r="AK26" s="129">
        <v>5</v>
      </c>
      <c r="AL26" s="129">
        <v>9</v>
      </c>
      <c r="AM26" s="129">
        <v>5</v>
      </c>
      <c r="AN26" s="129">
        <v>4</v>
      </c>
      <c r="AO26" s="129">
        <v>5</v>
      </c>
      <c r="AP26" s="129">
        <v>9</v>
      </c>
      <c r="AQ26" s="129">
        <v>9</v>
      </c>
      <c r="AR26" s="129">
        <v>9</v>
      </c>
      <c r="AS26" s="129">
        <v>9</v>
      </c>
      <c r="AT26" s="129">
        <v>9</v>
      </c>
      <c r="AU26" s="129">
        <v>9</v>
      </c>
      <c r="AV26" s="129">
        <v>9</v>
      </c>
      <c r="AW26" s="129">
        <v>9</v>
      </c>
      <c r="AX26" s="129">
        <v>9</v>
      </c>
      <c r="AY26" s="129">
        <v>9</v>
      </c>
      <c r="AZ26" s="129">
        <v>9</v>
      </c>
      <c r="BA26" s="129">
        <v>9</v>
      </c>
      <c r="BB26" s="129">
        <v>9</v>
      </c>
      <c r="BC26" s="129">
        <v>9</v>
      </c>
      <c r="BD26" s="129">
        <v>9</v>
      </c>
      <c r="BE26" s="125" t="s">
        <v>293</v>
      </c>
      <c r="BF26" s="125" t="s">
        <v>293</v>
      </c>
      <c r="BG26" s="125" t="s">
        <v>293</v>
      </c>
      <c r="BH26" s="125"/>
      <c r="BI26" s="129">
        <v>9</v>
      </c>
      <c r="BJ26" s="125" t="s">
        <v>294</v>
      </c>
      <c r="BK26" s="125" t="s">
        <v>294</v>
      </c>
      <c r="BL26" s="125" t="s">
        <v>20</v>
      </c>
      <c r="BM26" s="125" t="s">
        <v>20</v>
      </c>
      <c r="BN26" s="125"/>
      <c r="BO26" s="125"/>
      <c r="BP26" s="129"/>
      <c r="BQ26" s="129"/>
      <c r="BR26" s="125"/>
      <c r="BS26" s="129"/>
      <c r="BT26" s="129"/>
      <c r="BU26" s="125"/>
      <c r="BV26" s="125"/>
      <c r="BW26" s="125"/>
      <c r="BX26" s="125"/>
      <c r="BY26" s="125"/>
      <c r="BZ26" s="129"/>
      <c r="CA26" s="125"/>
      <c r="CB26" s="129"/>
      <c r="CC26" s="125"/>
      <c r="CD26" s="125"/>
      <c r="CE26" s="125"/>
      <c r="CF26" s="125"/>
      <c r="CG26" s="125"/>
      <c r="CH26" s="125"/>
      <c r="CI26" s="125"/>
      <c r="CJ26" s="125"/>
      <c r="CK26" s="125"/>
      <c r="CL26" s="125"/>
      <c r="CM26" s="125"/>
      <c r="CN26" s="129"/>
      <c r="CO26" s="125"/>
      <c r="CP26" s="125"/>
      <c r="CQ26" s="125"/>
      <c r="CR26" s="125"/>
      <c r="CS26" s="125"/>
      <c r="CT26" s="125"/>
      <c r="CU26" s="125"/>
      <c r="CV26" s="125"/>
      <c r="CW26" s="125"/>
      <c r="CX26" s="125"/>
      <c r="CY26" s="125"/>
      <c r="CZ26" s="125"/>
      <c r="DA26" s="125"/>
      <c r="DB26" s="125"/>
      <c r="DC26" s="125"/>
      <c r="DD26" s="125"/>
      <c r="DE26" s="125"/>
      <c r="DF26" s="125"/>
      <c r="DG26" s="125"/>
      <c r="DH26" s="125"/>
      <c r="DI26" s="125"/>
    </row>
    <row r="27" spans="1:113" ht="13.5" customHeight="1">
      <c r="A27" s="128">
        <v>43591.369639293982</v>
      </c>
      <c r="B27" s="125" t="s">
        <v>291</v>
      </c>
      <c r="C27" s="125" t="s">
        <v>9</v>
      </c>
      <c r="D27" s="125" t="s">
        <v>19</v>
      </c>
      <c r="E27" s="125" t="s">
        <v>17</v>
      </c>
      <c r="F27" s="125" t="s">
        <v>26</v>
      </c>
      <c r="G27" s="125" t="s">
        <v>306</v>
      </c>
      <c r="H27" s="125" t="s">
        <v>40</v>
      </c>
      <c r="I27" s="125" t="s">
        <v>47</v>
      </c>
      <c r="J27" s="125" t="s">
        <v>21</v>
      </c>
      <c r="K27" s="125" t="s">
        <v>298</v>
      </c>
      <c r="L27" s="125" t="s">
        <v>55</v>
      </c>
      <c r="M27" s="129">
        <v>4</v>
      </c>
      <c r="N27" s="129">
        <v>3</v>
      </c>
      <c r="O27" s="129">
        <v>2</v>
      </c>
      <c r="P27" s="129">
        <v>5</v>
      </c>
      <c r="Q27" s="129">
        <v>4</v>
      </c>
      <c r="R27" s="129">
        <v>4</v>
      </c>
      <c r="S27" s="129">
        <v>5</v>
      </c>
      <c r="T27" s="129">
        <v>4</v>
      </c>
      <c r="U27" s="129">
        <v>4</v>
      </c>
      <c r="V27" s="129">
        <v>4</v>
      </c>
      <c r="W27" s="129">
        <v>4</v>
      </c>
      <c r="X27" s="129">
        <v>3</v>
      </c>
      <c r="Y27" s="129">
        <v>4</v>
      </c>
      <c r="Z27" s="129">
        <v>4</v>
      </c>
      <c r="AA27" s="129">
        <v>4</v>
      </c>
      <c r="AB27" s="129">
        <v>4</v>
      </c>
      <c r="AC27" s="129">
        <v>4</v>
      </c>
      <c r="AD27" s="129">
        <v>4</v>
      </c>
      <c r="AE27" s="129">
        <v>5</v>
      </c>
      <c r="AF27" s="129">
        <v>4</v>
      </c>
      <c r="AG27" s="129">
        <v>4</v>
      </c>
      <c r="AH27" s="129">
        <v>4</v>
      </c>
      <c r="AI27" s="125" t="s">
        <v>20</v>
      </c>
      <c r="AJ27" s="129">
        <v>9</v>
      </c>
      <c r="AK27" s="129">
        <v>4</v>
      </c>
      <c r="AL27" s="129">
        <v>1</v>
      </c>
      <c r="AM27" s="129">
        <v>5</v>
      </c>
      <c r="AN27" s="129">
        <v>5</v>
      </c>
      <c r="AO27" s="129">
        <v>5</v>
      </c>
      <c r="AP27" s="129">
        <v>4</v>
      </c>
      <c r="AQ27" s="129">
        <v>4</v>
      </c>
      <c r="AR27" s="129">
        <v>4</v>
      </c>
      <c r="AS27" s="129">
        <v>4</v>
      </c>
      <c r="AT27" s="129">
        <v>3</v>
      </c>
      <c r="AU27" s="129">
        <v>5</v>
      </c>
      <c r="AV27" s="129">
        <v>4</v>
      </c>
      <c r="AW27" s="129">
        <v>4</v>
      </c>
      <c r="AX27" s="129">
        <v>4</v>
      </c>
      <c r="AY27" s="129">
        <v>9</v>
      </c>
      <c r="AZ27" s="129">
        <v>2</v>
      </c>
      <c r="BA27" s="129">
        <v>9</v>
      </c>
      <c r="BB27" s="129">
        <v>9</v>
      </c>
      <c r="BC27" s="129">
        <v>4</v>
      </c>
      <c r="BD27" s="129">
        <v>4</v>
      </c>
      <c r="BE27" s="129">
        <v>0</v>
      </c>
      <c r="BF27" s="129">
        <v>0</v>
      </c>
      <c r="BG27" s="129">
        <v>0</v>
      </c>
      <c r="BH27" s="125"/>
      <c r="BI27" s="129">
        <v>1</v>
      </c>
      <c r="BJ27" s="125" t="s">
        <v>193</v>
      </c>
      <c r="BK27" s="125" t="s">
        <v>197</v>
      </c>
      <c r="BL27" s="125" t="s">
        <v>20</v>
      </c>
      <c r="BM27" s="125" t="s">
        <v>20</v>
      </c>
      <c r="BN27" s="125"/>
      <c r="BO27" s="125"/>
      <c r="BP27" s="129"/>
      <c r="BQ27" s="129"/>
      <c r="BR27" s="125"/>
      <c r="BS27" s="129"/>
      <c r="BT27" s="129"/>
      <c r="BU27" s="125"/>
      <c r="BV27" s="125"/>
      <c r="BW27" s="125"/>
      <c r="BX27" s="125"/>
      <c r="BY27" s="125"/>
      <c r="BZ27" s="129"/>
      <c r="CA27" s="125"/>
      <c r="CB27" s="129"/>
      <c r="CC27" s="125"/>
      <c r="CD27" s="125"/>
      <c r="CE27" s="125"/>
      <c r="CF27" s="125"/>
      <c r="CG27" s="125"/>
      <c r="CH27" s="125"/>
      <c r="CI27" s="125"/>
      <c r="CJ27" s="125"/>
      <c r="CK27" s="125"/>
      <c r="CL27" s="125"/>
      <c r="CM27" s="125"/>
      <c r="CN27" s="129"/>
      <c r="CO27" s="125"/>
      <c r="CP27" s="125"/>
      <c r="CQ27" s="125"/>
      <c r="CR27" s="125"/>
      <c r="CS27" s="125"/>
      <c r="CT27" s="125"/>
      <c r="CU27" s="125"/>
      <c r="CV27" s="125"/>
      <c r="CW27" s="125"/>
      <c r="CX27" s="125"/>
      <c r="CY27" s="125"/>
      <c r="CZ27" s="125"/>
      <c r="DA27" s="125"/>
      <c r="DB27" s="125"/>
      <c r="DC27" s="125"/>
      <c r="DD27" s="125"/>
      <c r="DE27" s="125"/>
      <c r="DF27" s="125"/>
      <c r="DG27" s="125"/>
      <c r="DH27" s="125"/>
      <c r="DI27" s="125"/>
    </row>
    <row r="28" spans="1:113" ht="12.75">
      <c r="A28" s="128">
        <v>43591.372292465283</v>
      </c>
      <c r="B28" s="125" t="s">
        <v>297</v>
      </c>
      <c r="C28" s="125" t="s">
        <v>9</v>
      </c>
      <c r="D28" s="125" t="s">
        <v>19</v>
      </c>
      <c r="E28" s="125" t="s">
        <v>20</v>
      </c>
      <c r="F28" s="125" t="s">
        <v>24</v>
      </c>
      <c r="G28" s="125" t="s">
        <v>29</v>
      </c>
      <c r="H28" s="125" t="s">
        <v>38</v>
      </c>
      <c r="I28" s="125" t="s">
        <v>44</v>
      </c>
      <c r="J28" s="125" t="s">
        <v>50</v>
      </c>
      <c r="K28" s="125" t="s">
        <v>57</v>
      </c>
      <c r="L28" s="125" t="s">
        <v>57</v>
      </c>
      <c r="M28" s="129">
        <v>9</v>
      </c>
      <c r="N28" s="129">
        <v>4</v>
      </c>
      <c r="O28" s="129">
        <v>4</v>
      </c>
      <c r="P28" s="129">
        <v>9</v>
      </c>
      <c r="Q28" s="129">
        <v>9</v>
      </c>
      <c r="R28" s="129">
        <v>9</v>
      </c>
      <c r="S28" s="129">
        <v>5</v>
      </c>
      <c r="T28" s="129">
        <v>2</v>
      </c>
      <c r="U28" s="129">
        <v>3</v>
      </c>
      <c r="V28" s="129">
        <v>2</v>
      </c>
      <c r="W28" s="129">
        <v>2</v>
      </c>
      <c r="X28" s="129">
        <v>2</v>
      </c>
      <c r="Y28" s="129">
        <v>2</v>
      </c>
      <c r="Z28" s="129">
        <v>2</v>
      </c>
      <c r="AA28" s="129">
        <v>2</v>
      </c>
      <c r="AB28" s="129">
        <v>2</v>
      </c>
      <c r="AC28" s="129">
        <v>3</v>
      </c>
      <c r="AD28" s="129">
        <v>3</v>
      </c>
      <c r="AE28" s="129">
        <v>3</v>
      </c>
      <c r="AF28" s="129">
        <v>9</v>
      </c>
      <c r="AG28" s="129">
        <v>2</v>
      </c>
      <c r="AH28" s="129">
        <v>2</v>
      </c>
      <c r="AI28" s="125" t="s">
        <v>17</v>
      </c>
      <c r="AJ28" s="129">
        <v>1</v>
      </c>
      <c r="AK28" s="129">
        <v>3</v>
      </c>
      <c r="AL28" s="129">
        <v>3</v>
      </c>
      <c r="AM28" s="129">
        <v>3</v>
      </c>
      <c r="AN28" s="129">
        <v>3</v>
      </c>
      <c r="AO28" s="129">
        <v>2</v>
      </c>
      <c r="AP28" s="129">
        <v>1</v>
      </c>
      <c r="AQ28" s="129">
        <v>3</v>
      </c>
      <c r="AR28" s="129">
        <v>3</v>
      </c>
      <c r="AS28" s="129">
        <v>3</v>
      </c>
      <c r="AT28" s="129">
        <v>2</v>
      </c>
      <c r="AU28" s="129">
        <v>3</v>
      </c>
      <c r="AV28" s="129">
        <v>2</v>
      </c>
      <c r="AW28" s="129">
        <v>2</v>
      </c>
      <c r="AX28" s="129">
        <v>3</v>
      </c>
      <c r="AY28" s="129">
        <v>2</v>
      </c>
      <c r="AZ28" s="129">
        <v>2</v>
      </c>
      <c r="BA28" s="129">
        <v>1</v>
      </c>
      <c r="BB28" s="129">
        <v>1</v>
      </c>
      <c r="BC28" s="129">
        <v>3</v>
      </c>
      <c r="BD28" s="129">
        <v>1</v>
      </c>
      <c r="BE28" s="129">
        <v>20</v>
      </c>
      <c r="BF28" s="129">
        <v>5</v>
      </c>
      <c r="BG28" s="129">
        <v>2</v>
      </c>
      <c r="BH28" s="125"/>
      <c r="BI28" s="129">
        <v>1</v>
      </c>
      <c r="BJ28" s="125" t="s">
        <v>194</v>
      </c>
      <c r="BK28" s="125" t="s">
        <v>200</v>
      </c>
      <c r="BL28" s="125" t="s">
        <v>17</v>
      </c>
      <c r="BM28" s="125" t="s">
        <v>20</v>
      </c>
      <c r="BN28" s="125"/>
      <c r="BO28" s="125"/>
      <c r="BP28" s="129"/>
      <c r="BQ28" s="129"/>
      <c r="BR28" s="125"/>
      <c r="BS28" s="129"/>
      <c r="BT28" s="129"/>
      <c r="BU28" s="125"/>
      <c r="BV28" s="125"/>
      <c r="BW28" s="125"/>
      <c r="BX28" s="125"/>
      <c r="BY28" s="125"/>
      <c r="BZ28" s="129"/>
      <c r="CA28" s="125"/>
      <c r="CB28" s="129"/>
      <c r="CC28" s="125"/>
      <c r="CD28" s="125"/>
      <c r="CE28" s="125"/>
      <c r="CF28" s="125"/>
      <c r="CG28" s="125"/>
      <c r="CH28" s="125"/>
      <c r="CI28" s="125"/>
      <c r="CJ28" s="125"/>
      <c r="CK28" s="125"/>
      <c r="CL28" s="125"/>
      <c r="CM28" s="125"/>
      <c r="CN28" s="129"/>
      <c r="CO28" s="125"/>
      <c r="CP28" s="125"/>
      <c r="CQ28" s="125"/>
      <c r="CR28" s="125"/>
      <c r="CS28" s="125"/>
      <c r="CT28" s="125"/>
      <c r="CU28" s="125"/>
      <c r="CV28" s="125"/>
      <c r="CW28" s="125"/>
      <c r="CX28" s="125"/>
      <c r="CY28" s="125"/>
      <c r="CZ28" s="125"/>
      <c r="DA28" s="125"/>
      <c r="DB28" s="125"/>
      <c r="DC28" s="125"/>
      <c r="DD28" s="125"/>
      <c r="DE28" s="125"/>
      <c r="DF28" s="125"/>
      <c r="DG28" s="125"/>
      <c r="DH28" s="125"/>
      <c r="DI28" s="125"/>
    </row>
    <row r="29" spans="1:113" ht="12.75">
      <c r="A29" s="128">
        <v>43591.374271701388</v>
      </c>
      <c r="B29" s="125" t="s">
        <v>13</v>
      </c>
      <c r="C29" s="125" t="s">
        <v>9</v>
      </c>
      <c r="D29" s="125" t="s">
        <v>19</v>
      </c>
      <c r="E29" s="125" t="s">
        <v>20</v>
      </c>
      <c r="F29" s="125" t="s">
        <v>24</v>
      </c>
      <c r="G29" s="125" t="s">
        <v>31</v>
      </c>
      <c r="H29" s="125" t="s">
        <v>40</v>
      </c>
      <c r="I29" s="125" t="s">
        <v>44</v>
      </c>
      <c r="J29" s="125" t="s">
        <v>50</v>
      </c>
      <c r="K29" s="125" t="s">
        <v>298</v>
      </c>
      <c r="L29" s="125" t="s">
        <v>55</v>
      </c>
      <c r="M29" s="129">
        <v>5</v>
      </c>
      <c r="N29" s="129">
        <v>5</v>
      </c>
      <c r="O29" s="129">
        <v>1</v>
      </c>
      <c r="P29" s="129">
        <v>4</v>
      </c>
      <c r="Q29" s="129">
        <v>3</v>
      </c>
      <c r="R29" s="129">
        <v>2</v>
      </c>
      <c r="S29" s="129">
        <v>1</v>
      </c>
      <c r="T29" s="129">
        <v>3</v>
      </c>
      <c r="U29" s="129">
        <v>5</v>
      </c>
      <c r="V29" s="129">
        <v>5</v>
      </c>
      <c r="W29" s="129">
        <v>5</v>
      </c>
      <c r="X29" s="129">
        <v>4</v>
      </c>
      <c r="Y29" s="129">
        <v>3</v>
      </c>
      <c r="Z29" s="129">
        <v>3</v>
      </c>
      <c r="AA29" s="129">
        <v>4</v>
      </c>
      <c r="AB29" s="129">
        <v>5</v>
      </c>
      <c r="AC29" s="129">
        <v>4</v>
      </c>
      <c r="AD29" s="129">
        <v>5</v>
      </c>
      <c r="AE29" s="129">
        <v>5</v>
      </c>
      <c r="AF29" s="129">
        <v>4</v>
      </c>
      <c r="AG29" s="129">
        <v>5</v>
      </c>
      <c r="AH29" s="129">
        <v>4</v>
      </c>
      <c r="AI29" s="125" t="s">
        <v>17</v>
      </c>
      <c r="AJ29" s="129">
        <v>5</v>
      </c>
      <c r="AK29" s="129">
        <v>5</v>
      </c>
      <c r="AL29" s="129">
        <v>3</v>
      </c>
      <c r="AM29" s="129">
        <v>5</v>
      </c>
      <c r="AN29" s="129">
        <v>5</v>
      </c>
      <c r="AO29" s="129">
        <v>5</v>
      </c>
      <c r="AP29" s="129">
        <v>9</v>
      </c>
      <c r="AQ29" s="129">
        <v>9</v>
      </c>
      <c r="AR29" s="129">
        <v>9</v>
      </c>
      <c r="AS29" s="129">
        <v>9</v>
      </c>
      <c r="AT29" s="129">
        <v>9</v>
      </c>
      <c r="AU29" s="129">
        <v>9</v>
      </c>
      <c r="AV29" s="129">
        <v>9</v>
      </c>
      <c r="AW29" s="129">
        <v>9</v>
      </c>
      <c r="AX29" s="129">
        <v>9</v>
      </c>
      <c r="AY29" s="129">
        <v>9</v>
      </c>
      <c r="AZ29" s="129">
        <v>9</v>
      </c>
      <c r="BA29" s="129">
        <v>9</v>
      </c>
      <c r="BB29" s="129">
        <v>9</v>
      </c>
      <c r="BC29" s="129">
        <v>9</v>
      </c>
      <c r="BD29" s="129">
        <v>9</v>
      </c>
      <c r="BE29" s="125" t="s">
        <v>293</v>
      </c>
      <c r="BF29" s="125" t="s">
        <v>293</v>
      </c>
      <c r="BG29" s="129">
        <v>2</v>
      </c>
      <c r="BH29" s="125" t="s">
        <v>307</v>
      </c>
      <c r="BI29" s="129">
        <v>1</v>
      </c>
      <c r="BJ29" s="125" t="s">
        <v>193</v>
      </c>
      <c r="BK29" s="125" t="s">
        <v>197</v>
      </c>
      <c r="BL29" s="125" t="s">
        <v>17</v>
      </c>
      <c r="BM29" s="125" t="s">
        <v>17</v>
      </c>
      <c r="BN29" s="129">
        <v>5</v>
      </c>
      <c r="BO29" s="125"/>
      <c r="BP29" s="129"/>
      <c r="BQ29" s="129"/>
      <c r="BR29" s="125"/>
      <c r="BS29" s="129"/>
      <c r="BT29" s="129"/>
      <c r="BU29" s="125"/>
      <c r="BV29" s="125"/>
      <c r="BW29" s="125"/>
      <c r="BX29" s="125"/>
      <c r="BY29" s="125"/>
      <c r="BZ29" s="129"/>
      <c r="CA29" s="125"/>
      <c r="CB29" s="125"/>
      <c r="CC29" s="125"/>
      <c r="CD29" s="125"/>
      <c r="CE29" s="125"/>
      <c r="CF29" s="125"/>
      <c r="CG29" s="125"/>
      <c r="CH29" s="125"/>
      <c r="CI29" s="125"/>
      <c r="CJ29" s="125"/>
      <c r="CK29" s="125"/>
      <c r="CL29" s="125"/>
      <c r="CM29" s="125"/>
      <c r="CN29" s="129"/>
      <c r="CO29" s="125"/>
      <c r="CP29" s="125"/>
      <c r="CQ29" s="125"/>
      <c r="CR29" s="125"/>
      <c r="CS29" s="125"/>
      <c r="CT29" s="125"/>
      <c r="CU29" s="125"/>
      <c r="CV29" s="125"/>
      <c r="CW29" s="125"/>
      <c r="CX29" s="125"/>
      <c r="CY29" s="125"/>
      <c r="CZ29" s="125"/>
      <c r="DA29" s="125"/>
      <c r="DB29" s="125"/>
      <c r="DC29" s="125"/>
      <c r="DD29" s="125"/>
      <c r="DE29" s="125"/>
      <c r="DF29" s="125"/>
      <c r="DG29" s="125"/>
      <c r="DH29" s="125"/>
      <c r="DI29" s="125"/>
    </row>
    <row r="30" spans="1:113" ht="12.75">
      <c r="A30" s="128">
        <v>43591.375872731485</v>
      </c>
      <c r="B30" s="125" t="s">
        <v>13</v>
      </c>
      <c r="C30" s="125" t="s">
        <v>9</v>
      </c>
      <c r="D30" s="125" t="s">
        <v>16</v>
      </c>
      <c r="E30" s="125" t="s">
        <v>20</v>
      </c>
      <c r="F30" s="125" t="s">
        <v>24</v>
      </c>
      <c r="G30" s="125" t="s">
        <v>29</v>
      </c>
      <c r="H30" s="125" t="s">
        <v>38</v>
      </c>
      <c r="I30" s="125" t="s">
        <v>49</v>
      </c>
      <c r="J30" s="125" t="s">
        <v>50</v>
      </c>
      <c r="K30" s="125" t="s">
        <v>292</v>
      </c>
      <c r="L30" s="125" t="s">
        <v>56</v>
      </c>
      <c r="M30" s="129">
        <v>4</v>
      </c>
      <c r="N30" s="129">
        <v>1</v>
      </c>
      <c r="O30" s="129">
        <v>1</v>
      </c>
      <c r="P30" s="129">
        <v>5</v>
      </c>
      <c r="Q30" s="129">
        <v>5</v>
      </c>
      <c r="R30" s="129">
        <v>4</v>
      </c>
      <c r="S30" s="129">
        <v>5</v>
      </c>
      <c r="T30" s="129">
        <v>2</v>
      </c>
      <c r="U30" s="129">
        <v>9</v>
      </c>
      <c r="V30" s="129">
        <v>9</v>
      </c>
      <c r="W30" s="129">
        <v>9</v>
      </c>
      <c r="X30" s="129">
        <v>1</v>
      </c>
      <c r="Y30" s="129">
        <v>4</v>
      </c>
      <c r="Z30" s="129">
        <v>5</v>
      </c>
      <c r="AA30" s="129">
        <v>4</v>
      </c>
      <c r="AB30" s="129">
        <v>5</v>
      </c>
      <c r="AC30" s="129">
        <v>5</v>
      </c>
      <c r="AD30" s="129">
        <v>4</v>
      </c>
      <c r="AE30" s="129">
        <v>4</v>
      </c>
      <c r="AF30" s="129">
        <v>4</v>
      </c>
      <c r="AG30" s="129">
        <v>4</v>
      </c>
      <c r="AH30" s="129">
        <v>4</v>
      </c>
      <c r="AI30" s="125" t="s">
        <v>20</v>
      </c>
      <c r="AJ30" s="129">
        <v>9</v>
      </c>
      <c r="AK30" s="129">
        <v>5</v>
      </c>
      <c r="AL30" s="129">
        <v>1</v>
      </c>
      <c r="AM30" s="129">
        <v>5</v>
      </c>
      <c r="AN30" s="129">
        <v>5</v>
      </c>
      <c r="AO30" s="129">
        <v>5</v>
      </c>
      <c r="AP30" s="129">
        <v>4</v>
      </c>
      <c r="AQ30" s="129">
        <v>5</v>
      </c>
      <c r="AR30" s="129">
        <v>5</v>
      </c>
      <c r="AS30" s="129">
        <v>9</v>
      </c>
      <c r="AT30" s="129">
        <v>5</v>
      </c>
      <c r="AU30" s="129">
        <v>4</v>
      </c>
      <c r="AV30" s="129">
        <v>4</v>
      </c>
      <c r="AW30" s="129">
        <v>5</v>
      </c>
      <c r="AX30" s="129">
        <v>4</v>
      </c>
      <c r="AY30" s="129">
        <v>1</v>
      </c>
      <c r="AZ30" s="129">
        <v>2</v>
      </c>
      <c r="BA30" s="129">
        <v>1</v>
      </c>
      <c r="BB30" s="129">
        <v>1</v>
      </c>
      <c r="BC30" s="129">
        <v>5</v>
      </c>
      <c r="BD30" s="129">
        <v>4</v>
      </c>
      <c r="BE30" s="129">
        <v>1</v>
      </c>
      <c r="BF30" s="129">
        <v>0</v>
      </c>
      <c r="BG30" s="129">
        <v>2</v>
      </c>
      <c r="BH30" s="129">
        <v>9</v>
      </c>
      <c r="BI30" s="129">
        <v>9</v>
      </c>
      <c r="BJ30" s="125" t="s">
        <v>294</v>
      </c>
      <c r="BK30" s="125" t="s">
        <v>200</v>
      </c>
      <c r="BL30" s="125" t="s">
        <v>20</v>
      </c>
      <c r="BM30" s="125" t="s">
        <v>294</v>
      </c>
      <c r="BN30" s="125"/>
      <c r="BO30" s="125"/>
      <c r="BP30" s="129"/>
      <c r="BQ30" s="129"/>
      <c r="BR30" s="125"/>
      <c r="BS30" s="129"/>
      <c r="BT30" s="129"/>
      <c r="BU30" s="125"/>
      <c r="BV30" s="125"/>
      <c r="BW30" s="125"/>
      <c r="BX30" s="125"/>
      <c r="BY30" s="125"/>
      <c r="BZ30" s="129"/>
      <c r="CA30" s="125"/>
      <c r="CB30" s="129"/>
      <c r="CC30" s="125"/>
      <c r="CD30" s="125"/>
      <c r="CE30" s="125"/>
      <c r="CF30" s="125"/>
      <c r="CG30" s="125"/>
      <c r="CH30" s="125"/>
      <c r="CI30" s="125"/>
      <c r="CJ30" s="125"/>
      <c r="CK30" s="125"/>
      <c r="CL30" s="125"/>
      <c r="CM30" s="125"/>
      <c r="CN30" s="129"/>
      <c r="CO30" s="125"/>
      <c r="CP30" s="125"/>
      <c r="CQ30" s="125"/>
      <c r="CR30" s="125"/>
      <c r="CS30" s="125"/>
      <c r="CT30" s="125"/>
      <c r="CU30" s="125"/>
      <c r="CV30" s="125"/>
      <c r="CW30" s="125"/>
      <c r="CX30" s="125"/>
      <c r="CY30" s="125"/>
      <c r="CZ30" s="125"/>
      <c r="DA30" s="125"/>
      <c r="DB30" s="125"/>
      <c r="DC30" s="125"/>
      <c r="DD30" s="125"/>
      <c r="DE30" s="125"/>
      <c r="DF30" s="125"/>
      <c r="DG30" s="125"/>
      <c r="DH30" s="125"/>
      <c r="DI30" s="125"/>
    </row>
    <row r="31" spans="1:113" ht="12.75">
      <c r="A31" s="128">
        <v>43591.378567708336</v>
      </c>
      <c r="B31" s="125" t="s">
        <v>291</v>
      </c>
      <c r="C31" s="125" t="s">
        <v>9</v>
      </c>
      <c r="D31" s="125" t="s">
        <v>19</v>
      </c>
      <c r="E31" s="125" t="s">
        <v>17</v>
      </c>
      <c r="F31" s="125" t="s">
        <v>24</v>
      </c>
      <c r="G31" s="125" t="s">
        <v>32</v>
      </c>
      <c r="H31" s="125" t="s">
        <v>39</v>
      </c>
      <c r="I31" s="125" t="s">
        <v>44</v>
      </c>
      <c r="J31" s="125" t="s">
        <v>48</v>
      </c>
      <c r="K31" s="125" t="s">
        <v>58</v>
      </c>
      <c r="L31" s="125" t="s">
        <v>58</v>
      </c>
      <c r="M31" s="129">
        <v>5</v>
      </c>
      <c r="N31" s="129">
        <v>5</v>
      </c>
      <c r="O31" s="129">
        <v>5</v>
      </c>
      <c r="P31" s="129">
        <v>5</v>
      </c>
      <c r="Q31" s="129">
        <v>5</v>
      </c>
      <c r="R31" s="129">
        <v>5</v>
      </c>
      <c r="S31" s="129">
        <v>5</v>
      </c>
      <c r="T31" s="129">
        <v>5</v>
      </c>
      <c r="U31" s="129">
        <v>5</v>
      </c>
      <c r="V31" s="129">
        <v>5</v>
      </c>
      <c r="W31" s="129">
        <v>5</v>
      </c>
      <c r="X31" s="129">
        <v>9</v>
      </c>
      <c r="Y31" s="129">
        <v>5</v>
      </c>
      <c r="Z31" s="129">
        <v>5</v>
      </c>
      <c r="AA31" s="129">
        <v>5</v>
      </c>
      <c r="AB31" s="129">
        <v>5</v>
      </c>
      <c r="AC31" s="129">
        <v>5</v>
      </c>
      <c r="AD31" s="129">
        <v>5</v>
      </c>
      <c r="AE31" s="129">
        <v>5</v>
      </c>
      <c r="AF31" s="129">
        <v>5</v>
      </c>
      <c r="AG31" s="129">
        <v>5</v>
      </c>
      <c r="AH31" s="129">
        <v>5</v>
      </c>
      <c r="AI31" s="125" t="s">
        <v>17</v>
      </c>
      <c r="AJ31" s="129">
        <v>5</v>
      </c>
      <c r="AK31" s="129">
        <v>5</v>
      </c>
      <c r="AL31" s="129">
        <v>1</v>
      </c>
      <c r="AM31" s="129">
        <v>5</v>
      </c>
      <c r="AN31" s="129">
        <v>5</v>
      </c>
      <c r="AO31" s="129">
        <v>5</v>
      </c>
      <c r="AP31" s="129">
        <v>5</v>
      </c>
      <c r="AQ31" s="129">
        <v>5</v>
      </c>
      <c r="AR31" s="129">
        <v>5</v>
      </c>
      <c r="AS31" s="129">
        <v>5</v>
      </c>
      <c r="AT31" s="129">
        <v>5</v>
      </c>
      <c r="AU31" s="129">
        <v>5</v>
      </c>
      <c r="AV31" s="129">
        <v>5</v>
      </c>
      <c r="AW31" s="129">
        <v>5</v>
      </c>
      <c r="AX31" s="129">
        <v>5</v>
      </c>
      <c r="AY31" s="129">
        <v>1</v>
      </c>
      <c r="AZ31" s="129">
        <v>2</v>
      </c>
      <c r="BA31" s="129">
        <v>1</v>
      </c>
      <c r="BB31" s="129">
        <v>1</v>
      </c>
      <c r="BC31" s="129">
        <v>5</v>
      </c>
      <c r="BD31" s="129">
        <v>5</v>
      </c>
      <c r="BE31" s="125" t="s">
        <v>293</v>
      </c>
      <c r="BF31" s="129">
        <v>0</v>
      </c>
      <c r="BG31" s="129">
        <v>0</v>
      </c>
      <c r="BH31" s="125" t="s">
        <v>308</v>
      </c>
      <c r="BI31" s="129">
        <v>1</v>
      </c>
      <c r="BJ31" s="125" t="s">
        <v>193</v>
      </c>
      <c r="BK31" s="125" t="s">
        <v>197</v>
      </c>
      <c r="BL31" s="125" t="s">
        <v>17</v>
      </c>
      <c r="BM31" s="125" t="s">
        <v>20</v>
      </c>
      <c r="BN31" s="125"/>
      <c r="BO31" s="125"/>
      <c r="BP31" s="129"/>
      <c r="BQ31" s="129"/>
      <c r="BR31" s="125"/>
      <c r="BS31" s="129"/>
      <c r="BT31" s="129"/>
      <c r="BU31" s="125"/>
      <c r="BV31" s="125"/>
      <c r="BW31" s="125"/>
      <c r="BX31" s="125"/>
      <c r="BY31" s="125"/>
      <c r="BZ31" s="129"/>
      <c r="CA31" s="125"/>
      <c r="CB31" s="129"/>
      <c r="CC31" s="125"/>
      <c r="CD31" s="125"/>
      <c r="CE31" s="125"/>
      <c r="CF31" s="125"/>
      <c r="CG31" s="125"/>
      <c r="CH31" s="125"/>
      <c r="CI31" s="125"/>
      <c r="CJ31" s="125"/>
      <c r="CK31" s="125"/>
      <c r="CL31" s="125"/>
      <c r="CM31" s="125"/>
      <c r="CN31" s="129"/>
      <c r="CO31" s="125"/>
      <c r="CP31" s="125"/>
      <c r="CQ31" s="125"/>
      <c r="CR31" s="125"/>
      <c r="CS31" s="125"/>
      <c r="CT31" s="125"/>
      <c r="CU31" s="125"/>
      <c r="CV31" s="125"/>
      <c r="CW31" s="125"/>
      <c r="CX31" s="125"/>
      <c r="CY31" s="125"/>
      <c r="CZ31" s="125"/>
      <c r="DA31" s="125"/>
      <c r="DB31" s="125"/>
      <c r="DC31" s="125"/>
      <c r="DD31" s="125"/>
      <c r="DE31" s="125"/>
      <c r="DF31" s="125"/>
      <c r="DG31" s="125"/>
      <c r="DH31" s="125"/>
      <c r="DI31" s="125"/>
    </row>
    <row r="32" spans="1:113" ht="13.5" customHeight="1">
      <c r="A32" s="128"/>
      <c r="B32" s="125"/>
      <c r="C32" s="125"/>
      <c r="D32" s="125"/>
      <c r="E32" s="125"/>
      <c r="F32" s="125"/>
      <c r="G32" s="125"/>
      <c r="H32" s="126"/>
      <c r="I32" s="125"/>
      <c r="J32" s="125"/>
      <c r="K32" s="125"/>
      <c r="L32" s="125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5"/>
      <c r="AJ32" s="129"/>
      <c r="AK32" s="129"/>
      <c r="AL32" s="129"/>
      <c r="AM32" s="129"/>
      <c r="AN32" s="129"/>
      <c r="AO32" s="129"/>
      <c r="AP32" s="129"/>
      <c r="AQ32" s="129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129"/>
      <c r="BD32" s="129"/>
      <c r="BE32" s="125"/>
      <c r="BF32" s="125"/>
      <c r="BG32" s="125"/>
      <c r="BH32" s="125"/>
      <c r="BI32" s="129"/>
      <c r="BJ32" s="125"/>
      <c r="BK32" s="125"/>
      <c r="BL32" s="125"/>
      <c r="BM32" s="125"/>
      <c r="BN32" s="125"/>
      <c r="BO32" s="125"/>
      <c r="BP32" s="125"/>
      <c r="BQ32" s="125"/>
      <c r="BR32" s="125"/>
      <c r="BS32" s="125"/>
      <c r="BT32" s="125"/>
      <c r="BU32" s="125"/>
      <c r="BV32" s="125"/>
      <c r="BW32" s="125"/>
      <c r="BX32" s="125"/>
      <c r="BY32" s="125"/>
      <c r="BZ32" s="129"/>
      <c r="CA32" s="125"/>
      <c r="CB32" s="129"/>
      <c r="CC32" s="125"/>
      <c r="CD32" s="125"/>
      <c r="CE32" s="125"/>
      <c r="CF32" s="125"/>
      <c r="CG32" s="125"/>
      <c r="CH32" s="125"/>
      <c r="CI32" s="125"/>
      <c r="CJ32" s="125"/>
      <c r="CK32" s="125"/>
      <c r="CL32" s="125"/>
      <c r="CM32" s="125"/>
      <c r="CN32" s="125"/>
      <c r="CO32" s="125"/>
      <c r="CP32" s="125"/>
      <c r="CQ32" s="125"/>
      <c r="CR32" s="125"/>
      <c r="CS32" s="125"/>
      <c r="CT32" s="125"/>
      <c r="CU32" s="125"/>
      <c r="CV32" s="125"/>
      <c r="CW32" s="125"/>
      <c r="CX32" s="125"/>
      <c r="CY32" s="125"/>
      <c r="CZ32" s="125"/>
      <c r="DA32" s="125"/>
      <c r="DB32" s="125"/>
      <c r="DC32" s="125"/>
      <c r="DD32" s="125"/>
      <c r="DE32" s="125"/>
      <c r="DF32" s="125"/>
      <c r="DG32" s="125"/>
      <c r="DH32" s="125"/>
      <c r="DI32" s="125"/>
    </row>
    <row r="33" spans="1:113" ht="12.75">
      <c r="A33" s="128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5"/>
      <c r="AJ33" s="129"/>
      <c r="AK33" s="129"/>
      <c r="AL33" s="129"/>
      <c r="AM33" s="129"/>
      <c r="AN33" s="129"/>
      <c r="AO33" s="129"/>
      <c r="AP33" s="129"/>
      <c r="AQ33" s="129"/>
      <c r="AR33" s="129"/>
      <c r="AS33" s="129"/>
      <c r="AT33" s="129"/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25"/>
      <c r="BI33" s="129"/>
      <c r="BJ33" s="125"/>
      <c r="BK33" s="125"/>
      <c r="BL33" s="125"/>
      <c r="BM33" s="125"/>
      <c r="BN33" s="125"/>
      <c r="BO33" s="125"/>
      <c r="BP33" s="125"/>
      <c r="BQ33" s="125"/>
      <c r="BR33" s="125"/>
      <c r="BS33" s="125"/>
      <c r="BT33" s="125"/>
      <c r="BU33" s="125"/>
      <c r="BV33" s="125"/>
      <c r="BW33" s="125"/>
      <c r="BX33" s="125"/>
      <c r="BY33" s="125"/>
      <c r="BZ33" s="129"/>
      <c r="CA33" s="125"/>
      <c r="CB33" s="129"/>
      <c r="CC33" s="125"/>
      <c r="CD33" s="125"/>
      <c r="CE33" s="125"/>
      <c r="CF33" s="125"/>
      <c r="CG33" s="125"/>
      <c r="CH33" s="125"/>
      <c r="CI33" s="125"/>
      <c r="CJ33" s="125"/>
      <c r="CK33" s="125"/>
      <c r="CL33" s="125"/>
      <c r="CM33" s="125"/>
      <c r="CN33" s="125"/>
      <c r="CO33" s="125"/>
      <c r="CP33" s="125"/>
      <c r="CQ33" s="125"/>
      <c r="CR33" s="125"/>
      <c r="CS33" s="125"/>
      <c r="CT33" s="125"/>
      <c r="CU33" s="125"/>
      <c r="CV33" s="125"/>
      <c r="CW33" s="125"/>
      <c r="CX33" s="125"/>
      <c r="CY33" s="125"/>
      <c r="CZ33" s="125"/>
      <c r="DA33" s="125"/>
      <c r="DB33" s="125"/>
      <c r="DC33" s="125"/>
      <c r="DD33" s="125"/>
      <c r="DE33" s="125"/>
      <c r="DF33" s="125"/>
      <c r="DG33" s="125"/>
      <c r="DH33" s="125"/>
      <c r="DI33" s="125"/>
    </row>
    <row r="34" spans="1:113" ht="13.5" customHeight="1">
      <c r="A34" s="128"/>
      <c r="B34" s="125"/>
      <c r="C34" s="125"/>
      <c r="D34" s="125"/>
      <c r="E34" s="125"/>
      <c r="F34" s="125"/>
      <c r="G34" s="125"/>
      <c r="H34" s="126"/>
      <c r="I34" s="125"/>
      <c r="J34" s="125"/>
      <c r="K34" s="125"/>
      <c r="L34" s="125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5"/>
      <c r="AJ34" s="129"/>
      <c r="AK34" s="129"/>
      <c r="AL34" s="129"/>
      <c r="AM34" s="129"/>
      <c r="AN34" s="129"/>
      <c r="AO34" s="129"/>
      <c r="AP34" s="129"/>
      <c r="AQ34" s="129"/>
      <c r="AR34" s="129"/>
      <c r="AS34" s="129"/>
      <c r="AT34" s="129"/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125"/>
      <c r="BF34" s="125"/>
      <c r="BG34" s="129"/>
      <c r="BH34" s="125"/>
      <c r="BI34" s="129"/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5"/>
      <c r="BX34" s="125"/>
      <c r="BY34" s="125"/>
      <c r="BZ34" s="125"/>
      <c r="CA34" s="125"/>
      <c r="CB34" s="129"/>
      <c r="CC34" s="125"/>
      <c r="CD34" s="125"/>
      <c r="CE34" s="125"/>
      <c r="CF34" s="125"/>
      <c r="CG34" s="125"/>
      <c r="CH34" s="125"/>
      <c r="CI34" s="125"/>
      <c r="CJ34" s="125"/>
      <c r="CK34" s="125"/>
      <c r="CL34" s="125"/>
      <c r="CM34" s="125"/>
      <c r="CN34" s="125"/>
      <c r="CO34" s="125"/>
      <c r="CP34" s="125"/>
      <c r="CQ34" s="125"/>
      <c r="CR34" s="125"/>
      <c r="CS34" s="125"/>
      <c r="CT34" s="125"/>
      <c r="CU34" s="125"/>
      <c r="CV34" s="125"/>
      <c r="CW34" s="125"/>
      <c r="CX34" s="125"/>
      <c r="CY34" s="125"/>
      <c r="CZ34" s="125"/>
      <c r="DA34" s="125"/>
      <c r="DB34" s="125"/>
      <c r="DC34" s="125"/>
      <c r="DD34" s="125"/>
      <c r="DE34" s="125"/>
      <c r="DF34" s="125"/>
      <c r="DG34" s="125"/>
      <c r="DH34" s="125"/>
      <c r="DI34" s="125"/>
    </row>
    <row r="35" spans="1:113" ht="12.75">
      <c r="A35" s="128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5"/>
      <c r="AJ35" s="129"/>
      <c r="AK35" s="129"/>
      <c r="AL35" s="129"/>
      <c r="AM35" s="129"/>
      <c r="AN35" s="129"/>
      <c r="AO35" s="129"/>
      <c r="AP35" s="129"/>
      <c r="AQ35" s="129"/>
      <c r="AR35" s="129"/>
      <c r="AS35" s="129"/>
      <c r="AT35" s="129"/>
      <c r="AU35" s="129"/>
      <c r="AV35" s="129"/>
      <c r="AW35" s="129"/>
      <c r="AX35" s="129"/>
      <c r="AY35" s="129"/>
      <c r="AZ35" s="129"/>
      <c r="BA35" s="129"/>
      <c r="BB35" s="129"/>
      <c r="BC35" s="129"/>
      <c r="BD35" s="129"/>
      <c r="BE35" s="129"/>
      <c r="BF35" s="129"/>
      <c r="BG35" s="129"/>
      <c r="BH35" s="125"/>
      <c r="BI35" s="129"/>
      <c r="BJ35" s="125"/>
      <c r="BK35" s="125"/>
      <c r="BL35" s="125"/>
      <c r="BM35" s="125"/>
      <c r="BN35" s="129"/>
      <c r="BO35" s="125"/>
      <c r="BP35" s="125"/>
      <c r="BQ35" s="125"/>
      <c r="BR35" s="125"/>
      <c r="BS35" s="125"/>
      <c r="BT35" s="125"/>
      <c r="BU35" s="125"/>
      <c r="BV35" s="125"/>
      <c r="BW35" s="125"/>
      <c r="BX35" s="125"/>
      <c r="BY35" s="125"/>
      <c r="BZ35" s="125"/>
      <c r="CA35" s="125"/>
      <c r="CB35" s="129"/>
      <c r="CC35" s="125"/>
      <c r="CD35" s="125"/>
      <c r="CE35" s="125"/>
      <c r="CF35" s="125"/>
      <c r="CG35" s="125"/>
      <c r="CH35" s="125"/>
      <c r="CI35" s="125"/>
      <c r="CJ35" s="125"/>
      <c r="CK35" s="125"/>
      <c r="CL35" s="125"/>
      <c r="CM35" s="125"/>
      <c r="CN35" s="125"/>
      <c r="CO35" s="125"/>
      <c r="CP35" s="125"/>
      <c r="CQ35" s="125"/>
      <c r="CR35" s="125"/>
      <c r="CS35" s="125"/>
      <c r="CT35" s="125"/>
      <c r="CU35" s="125"/>
      <c r="CV35" s="125"/>
      <c r="CW35" s="125"/>
      <c r="CX35" s="125"/>
      <c r="CY35" s="125"/>
      <c r="CZ35" s="125"/>
      <c r="DA35" s="125"/>
      <c r="DB35" s="125"/>
      <c r="DC35" s="125"/>
      <c r="DD35" s="125"/>
      <c r="DE35" s="125"/>
      <c r="DF35" s="125"/>
      <c r="DG35" s="125"/>
      <c r="DH35" s="125"/>
      <c r="DI35" s="125"/>
    </row>
    <row r="36" spans="1:113" ht="12.75">
      <c r="A36" s="128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5"/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129"/>
      <c r="AU36" s="129"/>
      <c r="AV36" s="129"/>
      <c r="AW36" s="129"/>
      <c r="AX36" s="129"/>
      <c r="AY36" s="129"/>
      <c r="AZ36" s="129"/>
      <c r="BA36" s="129"/>
      <c r="BB36" s="129"/>
      <c r="BC36" s="129"/>
      <c r="BD36" s="129"/>
      <c r="BE36" s="129"/>
      <c r="BF36" s="129"/>
      <c r="BG36" s="125"/>
      <c r="BH36" s="125"/>
      <c r="BI36" s="129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125"/>
      <c r="BV36" s="125"/>
      <c r="BW36" s="125"/>
      <c r="BX36" s="125"/>
      <c r="BY36" s="125"/>
      <c r="BZ36" s="125"/>
      <c r="CA36" s="125"/>
      <c r="CB36" s="125"/>
      <c r="CC36" s="125"/>
      <c r="CD36" s="125"/>
      <c r="CE36" s="125"/>
      <c r="CF36" s="125"/>
      <c r="CG36" s="125"/>
      <c r="CH36" s="125"/>
      <c r="CI36" s="125"/>
      <c r="CJ36" s="125"/>
      <c r="CK36" s="125"/>
      <c r="CL36" s="125"/>
      <c r="CM36" s="125"/>
      <c r="CN36" s="125"/>
      <c r="CO36" s="125"/>
      <c r="CP36" s="125"/>
      <c r="CQ36" s="125"/>
      <c r="CR36" s="125"/>
      <c r="CS36" s="125"/>
      <c r="CT36" s="125"/>
      <c r="CU36" s="125"/>
      <c r="CV36" s="125"/>
      <c r="CW36" s="125"/>
      <c r="CX36" s="125"/>
      <c r="CY36" s="125"/>
      <c r="CZ36" s="125"/>
      <c r="DA36" s="125"/>
      <c r="DB36" s="125"/>
      <c r="DC36" s="125"/>
      <c r="DD36" s="125"/>
      <c r="DE36" s="125"/>
      <c r="DF36" s="125"/>
      <c r="DG36" s="125"/>
      <c r="DH36" s="125"/>
      <c r="DI36" s="125"/>
    </row>
    <row r="37" spans="1:113" ht="12.75">
      <c r="A37" s="128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5"/>
      <c r="AJ37" s="129"/>
      <c r="AK37" s="129"/>
      <c r="AL37" s="129"/>
      <c r="AM37" s="129"/>
      <c r="AN37" s="129"/>
      <c r="AO37" s="129"/>
      <c r="AP37" s="129"/>
      <c r="AQ37" s="129"/>
      <c r="AR37" s="129"/>
      <c r="AS37" s="129"/>
      <c r="AT37" s="129"/>
      <c r="AU37" s="129"/>
      <c r="AV37" s="129"/>
      <c r="AW37" s="129"/>
      <c r="AX37" s="129"/>
      <c r="AY37" s="129"/>
      <c r="AZ37" s="129"/>
      <c r="BA37" s="129"/>
      <c r="BB37" s="129"/>
      <c r="BC37" s="129"/>
      <c r="BD37" s="129"/>
      <c r="BE37" s="129"/>
      <c r="BF37" s="129"/>
      <c r="BG37" s="129"/>
      <c r="BH37" s="125"/>
      <c r="BI37" s="129"/>
      <c r="BJ37" s="125"/>
      <c r="BK37" s="125"/>
      <c r="BL37" s="125"/>
      <c r="BM37" s="125"/>
      <c r="BN37" s="129"/>
      <c r="BO37" s="125"/>
      <c r="BP37" s="125"/>
      <c r="BQ37" s="125"/>
      <c r="BR37" s="125"/>
      <c r="BS37" s="125"/>
      <c r="BT37" s="125"/>
      <c r="BU37" s="125"/>
      <c r="BV37" s="125"/>
      <c r="BW37" s="125"/>
      <c r="BX37" s="125"/>
      <c r="BY37" s="125"/>
      <c r="BZ37" s="125"/>
      <c r="CA37" s="125"/>
      <c r="CB37" s="129"/>
      <c r="CC37" s="125"/>
      <c r="CD37" s="125"/>
      <c r="CE37" s="125"/>
      <c r="CF37" s="125"/>
      <c r="CG37" s="125"/>
      <c r="CH37" s="125"/>
      <c r="CI37" s="125"/>
      <c r="CJ37" s="125"/>
      <c r="CK37" s="125"/>
      <c r="CL37" s="125"/>
      <c r="CM37" s="125"/>
      <c r="CN37" s="125"/>
      <c r="CO37" s="125"/>
      <c r="CP37" s="125"/>
      <c r="CQ37" s="125"/>
      <c r="CR37" s="125"/>
      <c r="CS37" s="125"/>
      <c r="CT37" s="125"/>
      <c r="CU37" s="125"/>
      <c r="CV37" s="125"/>
      <c r="CW37" s="125"/>
      <c r="CX37" s="125"/>
      <c r="CY37" s="125"/>
      <c r="CZ37" s="125"/>
      <c r="DA37" s="125"/>
      <c r="DB37" s="125"/>
      <c r="DC37" s="125"/>
      <c r="DD37" s="125"/>
      <c r="DE37" s="125"/>
      <c r="DF37" s="125"/>
      <c r="DG37" s="125"/>
      <c r="DH37" s="125"/>
      <c r="DI37" s="125"/>
    </row>
    <row r="38" spans="1:113" ht="12.75">
      <c r="A38" s="128"/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29"/>
      <c r="AI38" s="125"/>
      <c r="AJ38" s="129"/>
      <c r="AK38" s="129"/>
      <c r="AL38" s="129"/>
      <c r="AM38" s="129"/>
      <c r="AN38" s="129"/>
      <c r="AO38" s="129"/>
      <c r="AP38" s="129"/>
      <c r="AQ38" s="129"/>
      <c r="AR38" s="129"/>
      <c r="AS38" s="129"/>
      <c r="AT38" s="129"/>
      <c r="AU38" s="129"/>
      <c r="AV38" s="129"/>
      <c r="AW38" s="129"/>
      <c r="AX38" s="129"/>
      <c r="AY38" s="129"/>
      <c r="AZ38" s="129"/>
      <c r="BA38" s="129"/>
      <c r="BB38" s="129"/>
      <c r="BC38" s="129"/>
      <c r="BD38" s="129"/>
      <c r="BE38" s="125"/>
      <c r="BF38" s="125"/>
      <c r="BG38" s="125"/>
      <c r="BH38" s="125"/>
      <c r="BI38" s="129"/>
      <c r="BJ38" s="125"/>
      <c r="BK38" s="125"/>
      <c r="BL38" s="125"/>
      <c r="BM38" s="125"/>
      <c r="BN38" s="129"/>
      <c r="BO38" s="125"/>
      <c r="BP38" s="125"/>
      <c r="BQ38" s="125"/>
      <c r="BR38" s="125"/>
      <c r="BS38" s="125"/>
      <c r="BT38" s="125"/>
      <c r="BU38" s="125"/>
      <c r="BV38" s="125"/>
      <c r="BW38" s="125"/>
      <c r="BX38" s="125"/>
      <c r="BY38" s="125"/>
      <c r="BZ38" s="125"/>
      <c r="CA38" s="125"/>
      <c r="CB38" s="129"/>
      <c r="CC38" s="125"/>
      <c r="CD38" s="125"/>
      <c r="CE38" s="125"/>
      <c r="CF38" s="125"/>
      <c r="CG38" s="125"/>
      <c r="CH38" s="125"/>
      <c r="CI38" s="125"/>
      <c r="CJ38" s="125"/>
      <c r="CK38" s="125"/>
      <c r="CL38" s="125"/>
      <c r="CM38" s="125"/>
      <c r="CN38" s="125"/>
      <c r="CO38" s="125"/>
      <c r="CP38" s="125"/>
      <c r="CQ38" s="125"/>
      <c r="CR38" s="125"/>
      <c r="CS38" s="125"/>
      <c r="CT38" s="125"/>
      <c r="CU38" s="125"/>
      <c r="CV38" s="125"/>
      <c r="CW38" s="125"/>
      <c r="CX38" s="125"/>
      <c r="CY38" s="125"/>
      <c r="CZ38" s="125"/>
      <c r="DA38" s="125"/>
      <c r="DB38" s="125"/>
      <c r="DC38" s="125"/>
      <c r="DD38" s="125"/>
      <c r="DE38" s="125"/>
      <c r="DF38" s="125"/>
      <c r="DG38" s="125"/>
      <c r="DH38" s="125"/>
      <c r="DI38" s="125"/>
    </row>
    <row r="39" spans="1:113" ht="13.5" customHeight="1">
      <c r="A39" s="128"/>
      <c r="B39" s="125"/>
      <c r="C39" s="125"/>
      <c r="D39" s="125"/>
      <c r="E39" s="125"/>
      <c r="F39" s="125"/>
      <c r="G39" s="125"/>
      <c r="H39" s="126"/>
      <c r="I39" s="125"/>
      <c r="J39" s="125"/>
      <c r="K39" s="125"/>
      <c r="L39" s="125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5"/>
      <c r="AJ39" s="129"/>
      <c r="AK39" s="129"/>
      <c r="AL39" s="129"/>
      <c r="AM39" s="129"/>
      <c r="AN39" s="129"/>
      <c r="AO39" s="129"/>
      <c r="AP39" s="129"/>
      <c r="AQ39" s="129"/>
      <c r="AR39" s="129"/>
      <c r="AS39" s="129"/>
      <c r="AT39" s="129"/>
      <c r="AU39" s="129"/>
      <c r="AV39" s="129"/>
      <c r="AW39" s="129"/>
      <c r="AX39" s="129"/>
      <c r="AY39" s="129"/>
      <c r="AZ39" s="129"/>
      <c r="BA39" s="129"/>
      <c r="BB39" s="129"/>
      <c r="BC39" s="129"/>
      <c r="BD39" s="129"/>
      <c r="BE39" s="125"/>
      <c r="BF39" s="125"/>
      <c r="BG39" s="125"/>
      <c r="BH39" s="125"/>
      <c r="BI39" s="129"/>
      <c r="BJ39" s="125"/>
      <c r="BK39" s="125"/>
      <c r="BL39" s="125"/>
      <c r="BM39" s="125"/>
      <c r="BN39" s="129"/>
      <c r="BO39" s="125"/>
      <c r="BP39" s="125"/>
      <c r="BQ39" s="125"/>
      <c r="BR39" s="125"/>
      <c r="BS39" s="125"/>
      <c r="BT39" s="125"/>
      <c r="BU39" s="125"/>
      <c r="BV39" s="125"/>
      <c r="BW39" s="125"/>
      <c r="BX39" s="125"/>
      <c r="BY39" s="125"/>
      <c r="BZ39" s="125"/>
      <c r="CA39" s="125"/>
      <c r="CB39" s="129"/>
      <c r="CC39" s="125"/>
      <c r="CD39" s="125"/>
      <c r="CE39" s="125"/>
      <c r="CF39" s="125"/>
      <c r="CG39" s="125"/>
      <c r="CH39" s="125"/>
      <c r="CI39" s="125"/>
      <c r="CJ39" s="125"/>
      <c r="CK39" s="125"/>
      <c r="CL39" s="125"/>
      <c r="CM39" s="125"/>
      <c r="CN39" s="125"/>
      <c r="CO39" s="125"/>
      <c r="CP39" s="125"/>
      <c r="CQ39" s="125"/>
      <c r="CR39" s="125"/>
      <c r="CS39" s="125"/>
      <c r="CT39" s="125"/>
      <c r="CU39" s="125"/>
      <c r="CV39" s="125"/>
      <c r="CW39" s="125"/>
      <c r="CX39" s="125"/>
      <c r="CY39" s="125"/>
      <c r="CZ39" s="125"/>
      <c r="DA39" s="125"/>
      <c r="DB39" s="125"/>
      <c r="DC39" s="125"/>
      <c r="DD39" s="125"/>
      <c r="DE39" s="125"/>
      <c r="DF39" s="125"/>
      <c r="DG39" s="125"/>
      <c r="DH39" s="125"/>
      <c r="DI39" s="125"/>
    </row>
    <row r="40" spans="1:113" ht="12.75">
      <c r="A40" s="128"/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129"/>
      <c r="AI40" s="125"/>
      <c r="AJ40" s="129"/>
      <c r="AK40" s="129"/>
      <c r="AL40" s="129"/>
      <c r="AM40" s="129"/>
      <c r="AN40" s="129"/>
      <c r="AO40" s="129"/>
      <c r="AP40" s="129"/>
      <c r="AQ40" s="129"/>
      <c r="AR40" s="129"/>
      <c r="AS40" s="129"/>
      <c r="AT40" s="129"/>
      <c r="AU40" s="129"/>
      <c r="AV40" s="129"/>
      <c r="AW40" s="129"/>
      <c r="AX40" s="129"/>
      <c r="AY40" s="129"/>
      <c r="AZ40" s="129"/>
      <c r="BA40" s="129"/>
      <c r="BB40" s="129"/>
      <c r="BC40" s="129"/>
      <c r="BD40" s="129"/>
      <c r="BE40" s="125"/>
      <c r="BF40" s="125"/>
      <c r="BG40" s="125"/>
      <c r="BH40" s="125"/>
      <c r="BI40" s="129"/>
      <c r="BJ40" s="125"/>
      <c r="BK40" s="125"/>
      <c r="BL40" s="125"/>
      <c r="BM40" s="125"/>
      <c r="BN40" s="125"/>
      <c r="BO40" s="125"/>
      <c r="BP40" s="125"/>
      <c r="BQ40" s="125"/>
      <c r="BR40" s="125"/>
      <c r="BS40" s="125"/>
      <c r="BT40" s="125"/>
      <c r="BU40" s="125"/>
      <c r="BV40" s="125"/>
      <c r="BW40" s="125"/>
      <c r="BX40" s="125"/>
      <c r="BY40" s="125"/>
      <c r="BZ40" s="125"/>
      <c r="CA40" s="125"/>
      <c r="CB40" s="129"/>
      <c r="CC40" s="125"/>
      <c r="CD40" s="125"/>
      <c r="CE40" s="125"/>
      <c r="CF40" s="125"/>
      <c r="CG40" s="125"/>
      <c r="CH40" s="125"/>
      <c r="CI40" s="125"/>
      <c r="CJ40" s="125"/>
      <c r="CK40" s="125"/>
      <c r="CL40" s="125"/>
      <c r="CM40" s="125"/>
      <c r="CN40" s="125"/>
      <c r="CO40" s="125"/>
      <c r="CP40" s="125"/>
      <c r="CQ40" s="125"/>
      <c r="CR40" s="125"/>
      <c r="CS40" s="125"/>
      <c r="CT40" s="125"/>
      <c r="CU40" s="125"/>
      <c r="CV40" s="125"/>
      <c r="CW40" s="125"/>
      <c r="CX40" s="125"/>
      <c r="CY40" s="125"/>
      <c r="CZ40" s="125"/>
      <c r="DA40" s="125"/>
      <c r="DB40" s="125"/>
      <c r="DC40" s="125"/>
      <c r="DD40" s="125"/>
      <c r="DE40" s="125"/>
      <c r="DF40" s="125"/>
      <c r="DG40" s="125"/>
      <c r="DH40" s="125"/>
      <c r="DI40" s="125"/>
    </row>
    <row r="41" spans="1:113" ht="12.75">
      <c r="A41" s="128"/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5"/>
      <c r="AJ41" s="129"/>
      <c r="AK41" s="129"/>
      <c r="AL41" s="129"/>
      <c r="AM41" s="129"/>
      <c r="AN41" s="129"/>
      <c r="AO41" s="129"/>
      <c r="AP41" s="129"/>
      <c r="AQ41" s="129"/>
      <c r="AR41" s="129"/>
      <c r="AS41" s="129"/>
      <c r="AT41" s="129"/>
      <c r="AU41" s="129"/>
      <c r="AV41" s="129"/>
      <c r="AW41" s="129"/>
      <c r="AX41" s="129"/>
      <c r="AY41" s="129"/>
      <c r="AZ41" s="129"/>
      <c r="BA41" s="129"/>
      <c r="BB41" s="129"/>
      <c r="BC41" s="129"/>
      <c r="BD41" s="129"/>
      <c r="BE41" s="125"/>
      <c r="BF41" s="125"/>
      <c r="BG41" s="125"/>
      <c r="BH41" s="125"/>
      <c r="BI41" s="129"/>
      <c r="BJ41" s="125"/>
      <c r="BK41" s="125"/>
      <c r="BL41" s="125"/>
      <c r="BM41" s="125"/>
      <c r="BN41" s="125"/>
      <c r="BO41" s="125"/>
      <c r="BP41" s="125"/>
      <c r="BQ41" s="125"/>
      <c r="BR41" s="125"/>
      <c r="BS41" s="125"/>
      <c r="BT41" s="125"/>
      <c r="BU41" s="125"/>
      <c r="BV41" s="125"/>
      <c r="BW41" s="125"/>
      <c r="BX41" s="125"/>
      <c r="BY41" s="125"/>
      <c r="BZ41" s="125"/>
      <c r="CA41" s="125"/>
      <c r="CB41" s="129"/>
      <c r="CC41" s="125"/>
      <c r="CD41" s="125"/>
      <c r="CE41" s="125"/>
      <c r="CF41" s="125"/>
      <c r="CG41" s="125"/>
      <c r="CH41" s="125"/>
      <c r="CI41" s="125"/>
      <c r="CJ41" s="125"/>
      <c r="CK41" s="125"/>
      <c r="CL41" s="125"/>
      <c r="CM41" s="125"/>
      <c r="CN41" s="125"/>
      <c r="CO41" s="125"/>
      <c r="CP41" s="125"/>
      <c r="CQ41" s="125"/>
      <c r="CR41" s="125"/>
      <c r="CS41" s="125"/>
      <c r="CT41" s="125"/>
      <c r="CU41" s="125"/>
      <c r="CV41" s="125"/>
      <c r="CW41" s="125"/>
      <c r="CX41" s="125"/>
      <c r="CY41" s="125"/>
      <c r="CZ41" s="125"/>
      <c r="DA41" s="125"/>
      <c r="DB41" s="125"/>
      <c r="DC41" s="125"/>
      <c r="DD41" s="125"/>
      <c r="DE41" s="125"/>
      <c r="DF41" s="125"/>
      <c r="DG41" s="125"/>
      <c r="DH41" s="125"/>
      <c r="DI41" s="125"/>
    </row>
    <row r="42" spans="1:113" ht="12.75">
      <c r="A42" s="128"/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  <c r="AA42" s="129"/>
      <c r="AB42" s="129"/>
      <c r="AC42" s="129"/>
      <c r="AD42" s="129"/>
      <c r="AE42" s="129"/>
      <c r="AF42" s="129"/>
      <c r="AG42" s="129"/>
      <c r="AH42" s="129"/>
      <c r="AI42" s="125"/>
      <c r="AJ42" s="129"/>
      <c r="AK42" s="129"/>
      <c r="AL42" s="129"/>
      <c r="AM42" s="129"/>
      <c r="AN42" s="129"/>
      <c r="AO42" s="129"/>
      <c r="AP42" s="129"/>
      <c r="AQ42" s="129"/>
      <c r="AR42" s="129"/>
      <c r="AS42" s="129"/>
      <c r="AT42" s="129"/>
      <c r="AU42" s="129"/>
      <c r="AV42" s="129"/>
      <c r="AW42" s="129"/>
      <c r="AX42" s="129"/>
      <c r="AY42" s="129"/>
      <c r="AZ42" s="129"/>
      <c r="BA42" s="129"/>
      <c r="BB42" s="129"/>
      <c r="BC42" s="129"/>
      <c r="BD42" s="129"/>
      <c r="BE42" s="129"/>
      <c r="BF42" s="129"/>
      <c r="BG42" s="129"/>
      <c r="BH42" s="125"/>
      <c r="BI42" s="129"/>
      <c r="BJ42" s="125"/>
      <c r="BK42" s="125"/>
      <c r="BL42" s="125"/>
      <c r="BM42" s="125"/>
      <c r="BN42" s="125"/>
      <c r="BO42" s="125"/>
      <c r="BP42" s="125"/>
      <c r="BQ42" s="125"/>
      <c r="BR42" s="125"/>
      <c r="BS42" s="125"/>
      <c r="BT42" s="125"/>
      <c r="BU42" s="125"/>
      <c r="BV42" s="125"/>
      <c r="BW42" s="125"/>
      <c r="BX42" s="125"/>
      <c r="BY42" s="125"/>
      <c r="BZ42" s="125"/>
      <c r="CA42" s="125"/>
      <c r="CB42" s="129"/>
      <c r="CC42" s="125"/>
      <c r="CD42" s="125"/>
      <c r="CE42" s="125"/>
      <c r="CF42" s="125"/>
      <c r="CG42" s="125"/>
      <c r="CH42" s="125"/>
      <c r="CI42" s="125"/>
      <c r="CJ42" s="125"/>
      <c r="CK42" s="125"/>
      <c r="CL42" s="125"/>
      <c r="CM42" s="125"/>
      <c r="CN42" s="125"/>
      <c r="CO42" s="125"/>
      <c r="CP42" s="125"/>
      <c r="CQ42" s="125"/>
      <c r="CR42" s="125"/>
      <c r="CS42" s="125"/>
      <c r="CT42" s="125"/>
      <c r="CU42" s="125"/>
      <c r="CV42" s="125"/>
      <c r="CW42" s="125"/>
      <c r="CX42" s="125"/>
      <c r="CY42" s="125"/>
      <c r="CZ42" s="125"/>
      <c r="DA42" s="125"/>
      <c r="DB42" s="125"/>
      <c r="DC42" s="125"/>
      <c r="DD42" s="125"/>
      <c r="DE42" s="125"/>
      <c r="DF42" s="125"/>
      <c r="DG42" s="125"/>
      <c r="DH42" s="125"/>
      <c r="DI42" s="125"/>
    </row>
    <row r="43" spans="1:113" ht="13.5" customHeight="1">
      <c r="A43" s="128"/>
      <c r="B43" s="125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129"/>
      <c r="AD43" s="129"/>
      <c r="AE43" s="129"/>
      <c r="AF43" s="129"/>
      <c r="AG43" s="129"/>
      <c r="AH43" s="129"/>
      <c r="AI43" s="125"/>
      <c r="AJ43" s="129"/>
      <c r="AK43" s="129"/>
      <c r="AL43" s="129"/>
      <c r="AM43" s="129"/>
      <c r="AN43" s="129"/>
      <c r="AO43" s="129"/>
      <c r="AP43" s="129"/>
      <c r="AQ43" s="129"/>
      <c r="AR43" s="129"/>
      <c r="AS43" s="129"/>
      <c r="AT43" s="129"/>
      <c r="AU43" s="129"/>
      <c r="AV43" s="129"/>
      <c r="AW43" s="129"/>
      <c r="AX43" s="129"/>
      <c r="AY43" s="129"/>
      <c r="AZ43" s="129"/>
      <c r="BA43" s="129"/>
      <c r="BB43" s="129"/>
      <c r="BC43" s="129"/>
      <c r="BD43" s="129"/>
      <c r="BE43" s="129"/>
      <c r="BF43" s="129"/>
      <c r="BG43" s="129"/>
      <c r="BH43" s="125"/>
      <c r="BI43" s="129"/>
      <c r="BJ43" s="125"/>
      <c r="BK43" s="125"/>
      <c r="BL43" s="125"/>
      <c r="BM43" s="125"/>
      <c r="BN43" s="125"/>
      <c r="BO43" s="125"/>
      <c r="BP43" s="125"/>
      <c r="BQ43" s="125"/>
      <c r="BR43" s="125"/>
      <c r="BS43" s="125"/>
      <c r="BT43" s="125"/>
      <c r="BU43" s="125"/>
      <c r="BV43" s="125"/>
      <c r="BW43" s="125"/>
      <c r="BX43" s="125"/>
      <c r="BY43" s="125"/>
      <c r="BZ43" s="125"/>
      <c r="CA43" s="125"/>
      <c r="CB43" s="129"/>
      <c r="CC43" s="125"/>
      <c r="CD43" s="125"/>
      <c r="CE43" s="125"/>
      <c r="CF43" s="125"/>
      <c r="CG43" s="125"/>
      <c r="CH43" s="125"/>
      <c r="CI43" s="125"/>
      <c r="CJ43" s="125"/>
      <c r="CK43" s="125"/>
      <c r="CL43" s="125"/>
      <c r="CM43" s="125"/>
      <c r="CN43" s="125"/>
      <c r="CO43" s="125"/>
      <c r="CP43" s="125"/>
      <c r="CQ43" s="125"/>
      <c r="CR43" s="125"/>
      <c r="CS43" s="125"/>
      <c r="CT43" s="125"/>
      <c r="CU43" s="125"/>
      <c r="CV43" s="125"/>
      <c r="CW43" s="125"/>
      <c r="CX43" s="125"/>
      <c r="CY43" s="125"/>
      <c r="CZ43" s="125"/>
      <c r="DA43" s="125"/>
      <c r="DB43" s="125"/>
      <c r="DC43" s="125"/>
      <c r="DD43" s="125"/>
      <c r="DE43" s="125"/>
      <c r="DF43" s="125"/>
      <c r="DG43" s="125"/>
      <c r="DH43" s="125"/>
      <c r="DI43" s="125"/>
    </row>
    <row r="44" spans="1:113" ht="12.75">
      <c r="A44" s="128"/>
      <c r="B44" s="125"/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  <c r="AC44" s="129"/>
      <c r="AD44" s="129"/>
      <c r="AE44" s="129"/>
      <c r="AF44" s="129"/>
      <c r="AG44" s="129"/>
      <c r="AH44" s="129"/>
      <c r="AI44" s="125"/>
      <c r="AJ44" s="129"/>
      <c r="AK44" s="129"/>
      <c r="AL44" s="129"/>
      <c r="AM44" s="129"/>
      <c r="AN44" s="129"/>
      <c r="AO44" s="129"/>
      <c r="AP44" s="129"/>
      <c r="AQ44" s="129"/>
      <c r="AR44" s="129"/>
      <c r="AS44" s="129"/>
      <c r="AT44" s="129"/>
      <c r="AU44" s="129"/>
      <c r="AV44" s="129"/>
      <c r="AW44" s="129"/>
      <c r="AX44" s="129"/>
      <c r="AY44" s="129"/>
      <c r="AZ44" s="129"/>
      <c r="BA44" s="129"/>
      <c r="BB44" s="129"/>
      <c r="BC44" s="129"/>
      <c r="BD44" s="129"/>
      <c r="BE44" s="129"/>
      <c r="BF44" s="129"/>
      <c r="BG44" s="129"/>
      <c r="BH44" s="125"/>
      <c r="BI44" s="129"/>
      <c r="BJ44" s="125"/>
      <c r="BK44" s="125"/>
      <c r="BL44" s="125"/>
      <c r="BM44" s="125"/>
      <c r="BN44" s="125"/>
      <c r="BO44" s="125"/>
      <c r="BP44" s="125"/>
      <c r="BQ44" s="125"/>
      <c r="BR44" s="125"/>
      <c r="BS44" s="125"/>
      <c r="BT44" s="125"/>
      <c r="BU44" s="125"/>
      <c r="BV44" s="125"/>
      <c r="BW44" s="125"/>
      <c r="BX44" s="125"/>
      <c r="BY44" s="125"/>
      <c r="BZ44" s="125"/>
      <c r="CA44" s="125"/>
      <c r="CB44" s="129"/>
      <c r="CC44" s="125"/>
      <c r="CD44" s="125"/>
      <c r="CE44" s="125"/>
      <c r="CF44" s="125"/>
      <c r="CG44" s="125"/>
      <c r="CH44" s="125"/>
      <c r="CI44" s="125"/>
      <c r="CJ44" s="125"/>
      <c r="CK44" s="125"/>
      <c r="CL44" s="125"/>
      <c r="CM44" s="125"/>
      <c r="CN44" s="125"/>
      <c r="CO44" s="125"/>
      <c r="CP44" s="125"/>
      <c r="CQ44" s="125"/>
      <c r="CR44" s="125"/>
      <c r="CS44" s="125"/>
      <c r="CT44" s="125"/>
      <c r="CU44" s="125"/>
      <c r="CV44" s="125"/>
      <c r="CW44" s="125"/>
      <c r="CX44" s="125"/>
      <c r="CY44" s="125"/>
      <c r="CZ44" s="125"/>
      <c r="DA44" s="125"/>
      <c r="DB44" s="125"/>
      <c r="DC44" s="125"/>
      <c r="DD44" s="125"/>
      <c r="DE44" s="125"/>
      <c r="DF44" s="125"/>
      <c r="DG44" s="125"/>
      <c r="DH44" s="125"/>
      <c r="DI44" s="125"/>
    </row>
    <row r="45" spans="1:113" ht="12.75">
      <c r="A45" s="128"/>
      <c r="B45" s="125"/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29"/>
      <c r="AA45" s="129"/>
      <c r="AB45" s="129"/>
      <c r="AC45" s="129"/>
      <c r="AD45" s="129"/>
      <c r="AE45" s="129"/>
      <c r="AF45" s="129"/>
      <c r="AG45" s="129"/>
      <c r="AH45" s="129"/>
      <c r="AI45" s="125"/>
      <c r="AJ45" s="129"/>
      <c r="AK45" s="129"/>
      <c r="AL45" s="129"/>
      <c r="AM45" s="129"/>
      <c r="AN45" s="129"/>
      <c r="AO45" s="129"/>
      <c r="AP45" s="129"/>
      <c r="AQ45" s="129"/>
      <c r="AR45" s="129"/>
      <c r="AS45" s="129"/>
      <c r="AT45" s="129"/>
      <c r="AU45" s="129"/>
      <c r="AV45" s="129"/>
      <c r="AW45" s="129"/>
      <c r="AX45" s="129"/>
      <c r="AY45" s="129"/>
      <c r="AZ45" s="129"/>
      <c r="BA45" s="129"/>
      <c r="BB45" s="129"/>
      <c r="BC45" s="129"/>
      <c r="BD45" s="129"/>
      <c r="BE45" s="125"/>
      <c r="BF45" s="125"/>
      <c r="BG45" s="125"/>
      <c r="BH45" s="125"/>
      <c r="BI45" s="129"/>
      <c r="BJ45" s="125"/>
      <c r="BK45" s="125"/>
      <c r="BL45" s="125"/>
      <c r="BM45" s="125"/>
      <c r="BN45" s="125"/>
      <c r="BO45" s="125"/>
      <c r="BP45" s="125"/>
      <c r="BQ45" s="125"/>
      <c r="BR45" s="125"/>
      <c r="BS45" s="125"/>
      <c r="BT45" s="125"/>
      <c r="BU45" s="125"/>
      <c r="BV45" s="125"/>
      <c r="BW45" s="125"/>
      <c r="BX45" s="125"/>
      <c r="BY45" s="125"/>
      <c r="BZ45" s="125"/>
      <c r="CA45" s="125"/>
      <c r="CB45" s="125"/>
      <c r="CC45" s="125"/>
      <c r="CD45" s="125"/>
      <c r="CE45" s="125"/>
      <c r="CF45" s="125"/>
      <c r="CG45" s="125"/>
      <c r="CH45" s="125"/>
      <c r="CI45" s="125"/>
      <c r="CJ45" s="125"/>
      <c r="CK45" s="125"/>
      <c r="CL45" s="125"/>
      <c r="CM45" s="125"/>
      <c r="CN45" s="125"/>
      <c r="CO45" s="125"/>
      <c r="CP45" s="125"/>
      <c r="CQ45" s="125"/>
      <c r="CR45" s="125"/>
      <c r="CS45" s="125"/>
      <c r="CT45" s="125"/>
      <c r="CU45" s="125"/>
      <c r="CV45" s="125"/>
      <c r="CW45" s="125"/>
      <c r="CX45" s="125"/>
      <c r="CY45" s="125"/>
      <c r="CZ45" s="125"/>
      <c r="DA45" s="125"/>
      <c r="DB45" s="125"/>
      <c r="DC45" s="125"/>
      <c r="DD45" s="125"/>
      <c r="DE45" s="125"/>
      <c r="DF45" s="125"/>
      <c r="DG45" s="125"/>
      <c r="DH45" s="125"/>
      <c r="DI45" s="125"/>
    </row>
    <row r="46" spans="1:113" ht="12.75">
      <c r="A46" s="128"/>
      <c r="B46" s="125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5"/>
      <c r="AJ46" s="129"/>
      <c r="AK46" s="129"/>
      <c r="AL46" s="129"/>
      <c r="AM46" s="129"/>
      <c r="AN46" s="129"/>
      <c r="AO46" s="129"/>
      <c r="AP46" s="129"/>
      <c r="AQ46" s="129"/>
      <c r="AR46" s="129"/>
      <c r="AS46" s="129"/>
      <c r="AT46" s="129"/>
      <c r="AU46" s="129"/>
      <c r="AV46" s="129"/>
      <c r="AW46" s="129"/>
      <c r="AX46" s="129"/>
      <c r="AY46" s="129"/>
      <c r="AZ46" s="129"/>
      <c r="BA46" s="129"/>
      <c r="BB46" s="129"/>
      <c r="BC46" s="129"/>
      <c r="BD46" s="129"/>
      <c r="BE46" s="129"/>
      <c r="BF46" s="129"/>
      <c r="BG46" s="129"/>
      <c r="BH46" s="125"/>
      <c r="BI46" s="129"/>
      <c r="BJ46" s="125"/>
      <c r="BK46" s="125"/>
      <c r="BL46" s="125"/>
      <c r="BM46" s="125"/>
      <c r="BN46" s="129"/>
      <c r="BO46" s="125"/>
      <c r="BP46" s="125"/>
      <c r="BQ46" s="125"/>
      <c r="BR46" s="125"/>
      <c r="BS46" s="125"/>
      <c r="BT46" s="125"/>
      <c r="BU46" s="125"/>
      <c r="BV46" s="125"/>
      <c r="BW46" s="125"/>
      <c r="BX46" s="125"/>
      <c r="BY46" s="125"/>
      <c r="BZ46" s="125"/>
      <c r="CA46" s="125"/>
      <c r="CB46" s="129"/>
      <c r="CC46" s="125"/>
      <c r="CD46" s="125"/>
      <c r="CE46" s="125"/>
      <c r="CF46" s="125"/>
      <c r="CG46" s="125"/>
      <c r="CH46" s="125"/>
      <c r="CI46" s="125"/>
      <c r="CJ46" s="125"/>
      <c r="CK46" s="125"/>
      <c r="CL46" s="125"/>
      <c r="CM46" s="125"/>
      <c r="CN46" s="125"/>
      <c r="CO46" s="125"/>
      <c r="CP46" s="125"/>
      <c r="CQ46" s="125"/>
      <c r="CR46" s="125"/>
      <c r="CS46" s="125"/>
      <c r="CT46" s="125"/>
      <c r="CU46" s="125"/>
      <c r="CV46" s="125"/>
      <c r="CW46" s="125"/>
      <c r="CX46" s="125"/>
      <c r="CY46" s="125"/>
      <c r="CZ46" s="125"/>
      <c r="DA46" s="125"/>
      <c r="DB46" s="125"/>
      <c r="DC46" s="125"/>
      <c r="DD46" s="125"/>
      <c r="DE46" s="125"/>
      <c r="DF46" s="125"/>
      <c r="DG46" s="125"/>
      <c r="DH46" s="125"/>
      <c r="DI46" s="125"/>
    </row>
    <row r="47" spans="1:113" ht="12.75">
      <c r="A47" s="128"/>
      <c r="B47" s="125"/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129"/>
      <c r="AG47" s="129"/>
      <c r="AH47" s="129"/>
      <c r="AI47" s="125"/>
      <c r="AJ47" s="129"/>
      <c r="AK47" s="129"/>
      <c r="AL47" s="129"/>
      <c r="AM47" s="129"/>
      <c r="AN47" s="129"/>
      <c r="AO47" s="129"/>
      <c r="AP47" s="129"/>
      <c r="AQ47" s="129"/>
      <c r="AR47" s="129"/>
      <c r="AS47" s="129"/>
      <c r="AT47" s="129"/>
      <c r="AU47" s="129"/>
      <c r="AV47" s="129"/>
      <c r="AW47" s="129"/>
      <c r="AX47" s="129"/>
      <c r="AY47" s="129"/>
      <c r="AZ47" s="129"/>
      <c r="BA47" s="129"/>
      <c r="BB47" s="129"/>
      <c r="BC47" s="129"/>
      <c r="BD47" s="129"/>
      <c r="BE47" s="125"/>
      <c r="BF47" s="125"/>
      <c r="BG47" s="125"/>
      <c r="BH47" s="125"/>
      <c r="BI47" s="129"/>
      <c r="BJ47" s="125"/>
      <c r="BK47" s="125"/>
      <c r="BL47" s="125"/>
      <c r="BM47" s="125"/>
      <c r="BN47" s="125"/>
      <c r="BO47" s="125"/>
      <c r="BP47" s="125"/>
      <c r="BQ47" s="125"/>
      <c r="BR47" s="125"/>
      <c r="BS47" s="125"/>
      <c r="BT47" s="125"/>
      <c r="BU47" s="125"/>
      <c r="BV47" s="125"/>
      <c r="BW47" s="125"/>
      <c r="BX47" s="125"/>
      <c r="BY47" s="125"/>
      <c r="BZ47" s="125"/>
      <c r="CA47" s="125"/>
      <c r="CB47" s="129"/>
      <c r="CC47" s="125"/>
      <c r="CD47" s="125"/>
      <c r="CE47" s="125"/>
      <c r="CF47" s="125"/>
      <c r="CG47" s="125"/>
      <c r="CH47" s="125"/>
      <c r="CI47" s="125"/>
      <c r="CJ47" s="125"/>
      <c r="CK47" s="125"/>
      <c r="CL47" s="125"/>
      <c r="CM47" s="125"/>
      <c r="CN47" s="125"/>
      <c r="CO47" s="125"/>
      <c r="CP47" s="125"/>
      <c r="CQ47" s="125"/>
      <c r="CR47" s="125"/>
      <c r="CS47" s="125"/>
      <c r="CT47" s="125"/>
      <c r="CU47" s="125"/>
      <c r="CV47" s="125"/>
      <c r="CW47" s="125"/>
      <c r="CX47" s="125"/>
      <c r="CY47" s="125"/>
      <c r="CZ47" s="125"/>
      <c r="DA47" s="125"/>
      <c r="DB47" s="125"/>
      <c r="DC47" s="125"/>
      <c r="DD47" s="125"/>
      <c r="DE47" s="125"/>
      <c r="DF47" s="125"/>
      <c r="DG47" s="125"/>
      <c r="DH47" s="125"/>
      <c r="DI47" s="125"/>
    </row>
    <row r="48" spans="1:113" ht="13.5" customHeight="1">
      <c r="A48" s="128"/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  <c r="AG48" s="129"/>
      <c r="AH48" s="129"/>
      <c r="AI48" s="125"/>
      <c r="AJ48" s="129"/>
      <c r="AK48" s="129"/>
      <c r="AL48" s="129"/>
      <c r="AM48" s="129"/>
      <c r="AN48" s="129"/>
      <c r="AO48" s="129"/>
      <c r="AP48" s="129"/>
      <c r="AQ48" s="129"/>
      <c r="AR48" s="129"/>
      <c r="AS48" s="129"/>
      <c r="AT48" s="129"/>
      <c r="AU48" s="129"/>
      <c r="AV48" s="129"/>
      <c r="AW48" s="129"/>
      <c r="AX48" s="129"/>
      <c r="AY48" s="129"/>
      <c r="AZ48" s="129"/>
      <c r="BA48" s="129"/>
      <c r="BB48" s="129"/>
      <c r="BC48" s="129"/>
      <c r="BD48" s="129"/>
      <c r="BE48" s="129"/>
      <c r="BF48" s="129"/>
      <c r="BG48" s="129"/>
      <c r="BH48" s="125"/>
      <c r="BI48" s="129"/>
      <c r="BJ48" s="131"/>
      <c r="BK48" s="125"/>
      <c r="BL48" s="125"/>
      <c r="BM48" s="125"/>
      <c r="BN48" s="129"/>
      <c r="BO48" s="125"/>
      <c r="BP48" s="125"/>
      <c r="BQ48" s="125"/>
      <c r="BR48" s="125"/>
      <c r="BS48" s="125"/>
      <c r="BT48" s="125"/>
      <c r="BU48" s="125"/>
      <c r="BV48" s="125"/>
      <c r="BW48" s="125"/>
      <c r="BX48" s="125"/>
      <c r="BY48" s="125"/>
      <c r="BZ48" s="125"/>
      <c r="CA48" s="125"/>
      <c r="CB48" s="129"/>
      <c r="CC48" s="125"/>
      <c r="CD48" s="125"/>
      <c r="CE48" s="125"/>
      <c r="CF48" s="125"/>
      <c r="CG48" s="125"/>
      <c r="CH48" s="125"/>
      <c r="CI48" s="125"/>
      <c r="CJ48" s="125"/>
      <c r="CK48" s="125"/>
      <c r="CL48" s="125"/>
      <c r="CM48" s="125"/>
      <c r="CN48" s="125"/>
      <c r="CO48" s="125"/>
      <c r="CP48" s="125"/>
      <c r="CQ48" s="125"/>
      <c r="CR48" s="125"/>
      <c r="CS48" s="125"/>
      <c r="CT48" s="125"/>
      <c r="CU48" s="125"/>
      <c r="CV48" s="125"/>
      <c r="CW48" s="125"/>
      <c r="CX48" s="125"/>
      <c r="CY48" s="125"/>
      <c r="CZ48" s="125"/>
      <c r="DA48" s="125"/>
      <c r="DB48" s="125"/>
      <c r="DC48" s="125"/>
      <c r="DD48" s="125"/>
      <c r="DE48" s="125"/>
      <c r="DF48" s="125"/>
      <c r="DG48" s="125"/>
      <c r="DH48" s="125"/>
      <c r="DI48" s="125"/>
    </row>
    <row r="49" spans="1:113" ht="12.75">
      <c r="A49" s="128"/>
      <c r="B49" s="125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5"/>
      <c r="AJ49" s="129"/>
      <c r="AK49" s="129"/>
      <c r="AL49" s="129"/>
      <c r="AM49" s="129"/>
      <c r="AN49" s="129"/>
      <c r="AO49" s="129"/>
      <c r="AP49" s="129"/>
      <c r="AQ49" s="129"/>
      <c r="AR49" s="129"/>
      <c r="AS49" s="129"/>
      <c r="AT49" s="129"/>
      <c r="AU49" s="129"/>
      <c r="AV49" s="129"/>
      <c r="AW49" s="129"/>
      <c r="AX49" s="129"/>
      <c r="AY49" s="129"/>
      <c r="AZ49" s="129"/>
      <c r="BA49" s="129"/>
      <c r="BB49" s="129"/>
      <c r="BC49" s="129"/>
      <c r="BD49" s="129"/>
      <c r="BE49" s="129"/>
      <c r="BF49" s="125"/>
      <c r="BG49" s="125"/>
      <c r="BH49" s="125"/>
      <c r="BI49" s="129"/>
      <c r="BJ49" s="125"/>
      <c r="BK49" s="125"/>
      <c r="BL49" s="125"/>
      <c r="BM49" s="125"/>
      <c r="BN49" s="129"/>
      <c r="BO49" s="129"/>
      <c r="BP49" s="125"/>
      <c r="BQ49" s="125"/>
      <c r="BR49" s="125"/>
      <c r="BS49" s="125"/>
      <c r="BT49" s="125"/>
      <c r="BU49" s="125"/>
      <c r="BV49" s="125"/>
      <c r="BW49" s="125"/>
      <c r="BX49" s="125"/>
      <c r="BY49" s="125"/>
      <c r="BZ49" s="125"/>
      <c r="CA49" s="125"/>
      <c r="CB49" s="129"/>
      <c r="CC49" s="125"/>
      <c r="CD49" s="125"/>
      <c r="CE49" s="125"/>
      <c r="CF49" s="125"/>
      <c r="CG49" s="125"/>
      <c r="CH49" s="125"/>
      <c r="CI49" s="125"/>
      <c r="CJ49" s="125"/>
      <c r="CK49" s="125"/>
      <c r="CL49" s="125"/>
      <c r="CM49" s="125"/>
      <c r="CN49" s="125"/>
      <c r="CO49" s="125"/>
      <c r="CP49" s="125"/>
      <c r="CQ49" s="125"/>
      <c r="CR49" s="125"/>
      <c r="CS49" s="125"/>
      <c r="CT49" s="125"/>
      <c r="CU49" s="125"/>
      <c r="CV49" s="125"/>
      <c r="CW49" s="125"/>
      <c r="CX49" s="125"/>
      <c r="CY49" s="125"/>
      <c r="CZ49" s="125"/>
      <c r="DA49" s="125"/>
      <c r="DB49" s="125"/>
      <c r="DC49" s="125"/>
      <c r="DD49" s="125"/>
      <c r="DE49" s="125"/>
      <c r="DF49" s="125"/>
      <c r="DG49" s="125"/>
      <c r="DH49" s="125"/>
      <c r="DI49" s="125"/>
    </row>
    <row r="50" spans="1:113" ht="13.5" customHeight="1">
      <c r="A50" s="128"/>
      <c r="B50" s="125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5"/>
      <c r="AJ50" s="129"/>
      <c r="AK50" s="129"/>
      <c r="AL50" s="129"/>
      <c r="AM50" s="129"/>
      <c r="AN50" s="129"/>
      <c r="AO50" s="129"/>
      <c r="AP50" s="129"/>
      <c r="AQ50" s="129"/>
      <c r="AR50" s="129"/>
      <c r="AS50" s="129"/>
      <c r="AT50" s="129"/>
      <c r="AU50" s="129"/>
      <c r="AV50" s="129"/>
      <c r="AW50" s="129"/>
      <c r="AX50" s="129"/>
      <c r="AY50" s="129"/>
      <c r="AZ50" s="129"/>
      <c r="BA50" s="129"/>
      <c r="BB50" s="129"/>
      <c r="BC50" s="129"/>
      <c r="BD50" s="129"/>
      <c r="BE50" s="129"/>
      <c r="BF50" s="125"/>
      <c r="BG50" s="129"/>
      <c r="BH50" s="125"/>
      <c r="BI50" s="129"/>
      <c r="BJ50" s="125"/>
      <c r="BK50" s="125"/>
      <c r="BL50" s="125"/>
      <c r="BM50" s="125"/>
      <c r="BN50" s="129"/>
      <c r="BO50" s="129"/>
      <c r="BP50" s="125"/>
      <c r="BQ50" s="125"/>
      <c r="BR50" s="125"/>
      <c r="BS50" s="125"/>
      <c r="BT50" s="125"/>
      <c r="BU50" s="125"/>
      <c r="BV50" s="125"/>
      <c r="BW50" s="125"/>
      <c r="BX50" s="125"/>
      <c r="BY50" s="125"/>
      <c r="BZ50" s="125"/>
      <c r="CA50" s="125"/>
      <c r="CB50" s="129"/>
      <c r="CC50" s="125"/>
      <c r="CD50" s="125"/>
      <c r="CE50" s="125"/>
      <c r="CF50" s="125"/>
      <c r="CG50" s="125"/>
      <c r="CH50" s="125"/>
      <c r="CI50" s="125"/>
      <c r="CJ50" s="125"/>
      <c r="CK50" s="125"/>
      <c r="CL50" s="125"/>
      <c r="CM50" s="125"/>
      <c r="CN50" s="125"/>
      <c r="CO50" s="125"/>
      <c r="CP50" s="125"/>
      <c r="CQ50" s="125"/>
      <c r="CR50" s="125"/>
      <c r="CS50" s="125"/>
      <c r="CT50" s="125"/>
      <c r="CU50" s="125"/>
      <c r="CV50" s="125"/>
      <c r="CW50" s="125"/>
      <c r="CX50" s="125"/>
      <c r="CY50" s="125"/>
      <c r="CZ50" s="125"/>
      <c r="DA50" s="125"/>
      <c r="DB50" s="125"/>
      <c r="DC50" s="125"/>
      <c r="DD50" s="125"/>
      <c r="DE50" s="125"/>
      <c r="DF50" s="125"/>
      <c r="DG50" s="125"/>
      <c r="DH50" s="125"/>
      <c r="DI50" s="125"/>
    </row>
    <row r="51" spans="1:113" ht="12.75">
      <c r="A51" s="128"/>
      <c r="B51" s="125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  <c r="Z51" s="129"/>
      <c r="AA51" s="129"/>
      <c r="AB51" s="129"/>
      <c r="AC51" s="129"/>
      <c r="AD51" s="129"/>
      <c r="AE51" s="129"/>
      <c r="AF51" s="129"/>
      <c r="AG51" s="129"/>
      <c r="AH51" s="129"/>
      <c r="AI51" s="125"/>
      <c r="AJ51" s="129"/>
      <c r="AK51" s="129"/>
      <c r="AL51" s="129"/>
      <c r="AM51" s="129"/>
      <c r="AN51" s="129"/>
      <c r="AO51" s="129"/>
      <c r="AP51" s="129"/>
      <c r="AQ51" s="129"/>
      <c r="AR51" s="129"/>
      <c r="AS51" s="129"/>
      <c r="AT51" s="129"/>
      <c r="AU51" s="129"/>
      <c r="AV51" s="129"/>
      <c r="AW51" s="129"/>
      <c r="AX51" s="129"/>
      <c r="AY51" s="129"/>
      <c r="AZ51" s="129"/>
      <c r="BA51" s="129"/>
      <c r="BB51" s="129"/>
      <c r="BC51" s="129"/>
      <c r="BD51" s="129"/>
      <c r="BE51" s="129"/>
      <c r="BF51" s="125"/>
      <c r="BG51" s="129"/>
      <c r="BH51" s="125"/>
      <c r="BI51" s="129"/>
      <c r="BJ51" s="125"/>
      <c r="BK51" s="125"/>
      <c r="BL51" s="125"/>
      <c r="BM51" s="125"/>
      <c r="BN51" s="125"/>
      <c r="BO51" s="125"/>
      <c r="BP51" s="125"/>
      <c r="BQ51" s="125"/>
      <c r="BR51" s="125"/>
      <c r="BS51" s="125"/>
      <c r="BT51" s="125"/>
      <c r="BU51" s="125"/>
      <c r="BV51" s="125"/>
      <c r="BW51" s="125"/>
      <c r="BX51" s="125"/>
      <c r="BY51" s="125"/>
      <c r="BZ51" s="125"/>
      <c r="CA51" s="125"/>
      <c r="CB51" s="129"/>
      <c r="CC51" s="125"/>
      <c r="CD51" s="125"/>
      <c r="CE51" s="125"/>
      <c r="CF51" s="125"/>
      <c r="CG51" s="125"/>
      <c r="CH51" s="125"/>
      <c r="CI51" s="125"/>
      <c r="CJ51" s="125"/>
      <c r="CK51" s="125"/>
      <c r="CL51" s="125"/>
      <c r="CM51" s="125"/>
      <c r="CN51" s="125"/>
      <c r="CO51" s="125"/>
      <c r="CP51" s="125"/>
      <c r="CQ51" s="125"/>
      <c r="CR51" s="125"/>
      <c r="CS51" s="125"/>
      <c r="CT51" s="125"/>
      <c r="CU51" s="125"/>
      <c r="CV51" s="125"/>
      <c r="CW51" s="125"/>
      <c r="CX51" s="125"/>
      <c r="CY51" s="125"/>
      <c r="CZ51" s="125"/>
      <c r="DA51" s="125"/>
      <c r="DB51" s="125"/>
      <c r="DC51" s="125"/>
      <c r="DD51" s="125"/>
      <c r="DE51" s="125"/>
      <c r="DF51" s="125"/>
      <c r="DG51" s="125"/>
      <c r="DH51" s="125"/>
      <c r="DI51" s="125"/>
    </row>
    <row r="52" spans="1:113" ht="12.75">
      <c r="A52" s="128"/>
      <c r="B52" s="125"/>
      <c r="C52" s="125"/>
      <c r="D52" s="125"/>
      <c r="E52" s="125"/>
      <c r="F52" s="125"/>
      <c r="G52" s="125"/>
      <c r="H52" s="126"/>
      <c r="I52" s="125"/>
      <c r="J52" s="125"/>
      <c r="K52" s="125"/>
      <c r="L52" s="125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29"/>
      <c r="AH52" s="129"/>
      <c r="AI52" s="125"/>
      <c r="AJ52" s="129"/>
      <c r="AK52" s="129"/>
      <c r="AL52" s="129"/>
      <c r="AM52" s="129"/>
      <c r="AN52" s="129"/>
      <c r="AO52" s="129"/>
      <c r="AP52" s="129"/>
      <c r="AQ52" s="129"/>
      <c r="AR52" s="129"/>
      <c r="AS52" s="129"/>
      <c r="AT52" s="129"/>
      <c r="AU52" s="129"/>
      <c r="AV52" s="129"/>
      <c r="AW52" s="129"/>
      <c r="AX52" s="129"/>
      <c r="AY52" s="129"/>
      <c r="AZ52" s="129"/>
      <c r="BA52" s="129"/>
      <c r="BB52" s="129"/>
      <c r="BC52" s="129"/>
      <c r="BD52" s="129"/>
      <c r="BE52" s="125"/>
      <c r="BF52" s="125"/>
      <c r="BG52" s="125"/>
      <c r="BH52" s="129"/>
      <c r="BI52" s="129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/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/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</row>
    <row r="53" spans="1:113" ht="12.75">
      <c r="A53" s="128"/>
      <c r="B53" s="125"/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5"/>
      <c r="AJ53" s="129"/>
      <c r="AK53" s="129"/>
      <c r="AL53" s="129"/>
      <c r="AM53" s="129"/>
      <c r="AN53" s="129"/>
      <c r="AO53" s="129"/>
      <c r="AP53" s="129"/>
      <c r="AQ53" s="129"/>
      <c r="AR53" s="129"/>
      <c r="AS53" s="129"/>
      <c r="AT53" s="129"/>
      <c r="AU53" s="129"/>
      <c r="AV53" s="129"/>
      <c r="AW53" s="129"/>
      <c r="AX53" s="129"/>
      <c r="AY53" s="129"/>
      <c r="AZ53" s="129"/>
      <c r="BA53" s="129"/>
      <c r="BB53" s="129"/>
      <c r="BC53" s="129"/>
      <c r="BD53" s="129"/>
      <c r="BE53" s="125"/>
      <c r="BF53" s="125"/>
      <c r="BG53" s="125"/>
      <c r="BH53" s="129"/>
      <c r="BI53" s="129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/>
      <c r="CA53" s="125"/>
      <c r="CB53" s="129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/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</row>
    <row r="54" spans="1:113" ht="12.75">
      <c r="A54" s="128"/>
      <c r="B54" s="125"/>
      <c r="C54" s="125"/>
      <c r="D54" s="125"/>
      <c r="E54" s="125"/>
      <c r="F54" s="125"/>
      <c r="G54" s="125"/>
      <c r="H54" s="126"/>
      <c r="I54" s="125"/>
      <c r="J54" s="125"/>
      <c r="K54" s="125"/>
      <c r="L54" s="125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5"/>
      <c r="AJ54" s="129"/>
      <c r="AK54" s="129"/>
      <c r="AL54" s="129"/>
      <c r="AM54" s="129"/>
      <c r="AN54" s="129"/>
      <c r="AO54" s="129"/>
      <c r="AP54" s="129"/>
      <c r="AQ54" s="129"/>
      <c r="AR54" s="129"/>
      <c r="AS54" s="129"/>
      <c r="AT54" s="129"/>
      <c r="AU54" s="129"/>
      <c r="AV54" s="129"/>
      <c r="AW54" s="129"/>
      <c r="AX54" s="129"/>
      <c r="AY54" s="129"/>
      <c r="AZ54" s="129"/>
      <c r="BA54" s="129"/>
      <c r="BB54" s="129"/>
      <c r="BC54" s="129"/>
      <c r="BD54" s="129"/>
      <c r="BE54" s="125"/>
      <c r="BF54" s="125"/>
      <c r="BG54" s="125"/>
      <c r="BH54" s="125"/>
      <c r="BI54" s="129"/>
      <c r="BJ54" s="131"/>
      <c r="BK54" s="125"/>
      <c r="BL54" s="125"/>
      <c r="BM54" s="125"/>
      <c r="BN54" s="125"/>
      <c r="BO54" s="125"/>
      <c r="BP54" s="125"/>
      <c r="BQ54" s="125"/>
      <c r="BR54" s="125"/>
      <c r="BS54" s="125"/>
      <c r="BT54" s="125"/>
      <c r="BU54" s="125"/>
      <c r="BV54" s="125"/>
      <c r="BW54" s="125"/>
      <c r="BX54" s="125"/>
      <c r="BY54" s="125"/>
      <c r="BZ54" s="125"/>
      <c r="CA54" s="125"/>
      <c r="CB54" s="129"/>
      <c r="CC54" s="125"/>
      <c r="CD54" s="125"/>
      <c r="CE54" s="125"/>
      <c r="CF54" s="125"/>
      <c r="CG54" s="125"/>
      <c r="CH54" s="125"/>
      <c r="CI54" s="125"/>
      <c r="CJ54" s="125"/>
      <c r="CK54" s="125"/>
      <c r="CL54" s="125"/>
      <c r="CM54" s="125"/>
      <c r="CN54" s="125"/>
      <c r="CO54" s="125"/>
      <c r="CP54" s="125"/>
      <c r="CQ54" s="125"/>
      <c r="CR54" s="125"/>
      <c r="CS54" s="125"/>
      <c r="CT54" s="125"/>
      <c r="CU54" s="125"/>
      <c r="CV54" s="125"/>
      <c r="CW54" s="125"/>
      <c r="CX54" s="125"/>
      <c r="CY54" s="125"/>
      <c r="CZ54" s="125"/>
      <c r="DA54" s="125"/>
      <c r="DB54" s="125"/>
      <c r="DC54" s="125"/>
      <c r="DD54" s="125"/>
      <c r="DE54" s="125"/>
      <c r="DF54" s="125"/>
      <c r="DG54" s="125"/>
      <c r="DH54" s="125"/>
      <c r="DI54" s="125"/>
    </row>
    <row r="55" spans="1:113" ht="13.5" customHeight="1">
      <c r="A55" s="128"/>
      <c r="B55" s="125"/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5"/>
      <c r="AJ55" s="129"/>
      <c r="AK55" s="129"/>
      <c r="AL55" s="129"/>
      <c r="AM55" s="129"/>
      <c r="AN55" s="129"/>
      <c r="AO55" s="129"/>
      <c r="AP55" s="129"/>
      <c r="AQ55" s="129"/>
      <c r="AR55" s="129"/>
      <c r="AS55" s="129"/>
      <c r="AT55" s="129"/>
      <c r="AU55" s="129"/>
      <c r="AV55" s="129"/>
      <c r="AW55" s="129"/>
      <c r="AX55" s="129"/>
      <c r="AY55" s="129"/>
      <c r="AZ55" s="129"/>
      <c r="BA55" s="129"/>
      <c r="BB55" s="129"/>
      <c r="BC55" s="129"/>
      <c r="BD55" s="129"/>
      <c r="BE55" s="129"/>
      <c r="BF55" s="129"/>
      <c r="BG55" s="129"/>
      <c r="BH55" s="129"/>
      <c r="BI55" s="129"/>
      <c r="BJ55" s="125"/>
      <c r="BK55" s="125"/>
      <c r="BL55" s="125"/>
      <c r="BM55" s="125"/>
      <c r="BN55" s="129"/>
      <c r="BO55" s="125"/>
      <c r="BP55" s="125"/>
      <c r="BQ55" s="125"/>
      <c r="BR55" s="125"/>
      <c r="BS55" s="125"/>
      <c r="BT55" s="125"/>
      <c r="BU55" s="125"/>
      <c r="BV55" s="125"/>
      <c r="BW55" s="125"/>
      <c r="BX55" s="125"/>
      <c r="BY55" s="125"/>
      <c r="BZ55" s="125"/>
      <c r="CA55" s="125"/>
      <c r="CB55" s="129"/>
      <c r="CC55" s="125"/>
      <c r="CD55" s="125"/>
      <c r="CE55" s="125"/>
      <c r="CF55" s="125"/>
      <c r="CG55" s="125"/>
      <c r="CH55" s="125"/>
      <c r="CI55" s="125"/>
      <c r="CJ55" s="125"/>
      <c r="CK55" s="125"/>
      <c r="CL55" s="125"/>
      <c r="CM55" s="125"/>
      <c r="CN55" s="125"/>
      <c r="CO55" s="125"/>
      <c r="CP55" s="125"/>
      <c r="CQ55" s="125"/>
      <c r="CR55" s="125"/>
      <c r="CS55" s="125"/>
      <c r="CT55" s="125"/>
      <c r="CU55" s="125"/>
      <c r="CV55" s="125"/>
      <c r="CW55" s="125"/>
      <c r="CX55" s="125"/>
      <c r="CY55" s="125"/>
      <c r="CZ55" s="125"/>
      <c r="DA55" s="125"/>
      <c r="DB55" s="125"/>
      <c r="DC55" s="125"/>
      <c r="DD55" s="125"/>
      <c r="DE55" s="125"/>
      <c r="DF55" s="125"/>
      <c r="DG55" s="125"/>
      <c r="DH55" s="125"/>
      <c r="DI55" s="125"/>
    </row>
    <row r="56" spans="1:113" ht="12.75">
      <c r="A56" s="128"/>
      <c r="B56" s="125"/>
      <c r="C56" s="125"/>
      <c r="D56" s="125"/>
      <c r="E56" s="125"/>
      <c r="F56" s="125"/>
      <c r="G56" s="125"/>
      <c r="H56" s="126"/>
      <c r="I56" s="125"/>
      <c r="J56" s="125"/>
      <c r="K56" s="125"/>
      <c r="L56" s="125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29"/>
      <c r="AB56" s="129"/>
      <c r="AC56" s="129"/>
      <c r="AD56" s="129"/>
      <c r="AE56" s="129"/>
      <c r="AF56" s="129"/>
      <c r="AG56" s="129"/>
      <c r="AH56" s="129"/>
      <c r="AI56" s="125"/>
      <c r="AJ56" s="129"/>
      <c r="AK56" s="129"/>
      <c r="AL56" s="129"/>
      <c r="AM56" s="129"/>
      <c r="AN56" s="129"/>
      <c r="AO56" s="129"/>
      <c r="AP56" s="129"/>
      <c r="AQ56" s="129"/>
      <c r="AR56" s="129"/>
      <c r="AS56" s="129"/>
      <c r="AT56" s="129"/>
      <c r="AU56" s="129"/>
      <c r="AV56" s="129"/>
      <c r="AW56" s="129"/>
      <c r="AX56" s="129"/>
      <c r="AY56" s="129"/>
      <c r="AZ56" s="129"/>
      <c r="BA56" s="129"/>
      <c r="BB56" s="129"/>
      <c r="BC56" s="129"/>
      <c r="BD56" s="129"/>
      <c r="BE56" s="125"/>
      <c r="BF56" s="125"/>
      <c r="BG56" s="125"/>
      <c r="BH56" s="125"/>
      <c r="BI56" s="129"/>
      <c r="BJ56" s="125"/>
      <c r="BK56" s="125"/>
      <c r="BL56" s="125"/>
      <c r="BM56" s="125"/>
      <c r="BN56" s="125"/>
      <c r="BO56" s="125"/>
      <c r="BP56" s="125"/>
      <c r="BQ56" s="125"/>
      <c r="BR56" s="125"/>
      <c r="BS56" s="125"/>
      <c r="BT56" s="125"/>
      <c r="BU56" s="125"/>
      <c r="BV56" s="125"/>
      <c r="BW56" s="125"/>
      <c r="BX56" s="125"/>
      <c r="BY56" s="125"/>
      <c r="BZ56" s="125"/>
      <c r="CA56" s="125"/>
      <c r="CB56" s="129"/>
      <c r="CC56" s="125"/>
      <c r="CD56" s="125"/>
      <c r="CE56" s="125"/>
      <c r="CF56" s="125"/>
      <c r="CG56" s="125"/>
      <c r="CH56" s="125"/>
      <c r="CI56" s="125"/>
      <c r="CJ56" s="125"/>
      <c r="CK56" s="125"/>
      <c r="CL56" s="125"/>
      <c r="CM56" s="125"/>
      <c r="CN56" s="125"/>
      <c r="CO56" s="125"/>
      <c r="CP56" s="125"/>
      <c r="CQ56" s="125"/>
      <c r="CR56" s="125"/>
      <c r="CS56" s="125"/>
      <c r="CT56" s="125"/>
      <c r="CU56" s="125"/>
      <c r="CV56" s="125"/>
      <c r="CW56" s="125"/>
      <c r="CX56" s="125"/>
      <c r="CY56" s="125"/>
      <c r="CZ56" s="125"/>
      <c r="DA56" s="125"/>
      <c r="DB56" s="125"/>
      <c r="DC56" s="125"/>
      <c r="DD56" s="125"/>
      <c r="DE56" s="125"/>
      <c r="DF56" s="125"/>
      <c r="DG56" s="125"/>
      <c r="DH56" s="125"/>
      <c r="DI56" s="125"/>
    </row>
    <row r="57" spans="1:113" ht="13.5" customHeight="1">
      <c r="A57" s="128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29"/>
      <c r="AB57" s="129"/>
      <c r="AC57" s="129"/>
      <c r="AD57" s="129"/>
      <c r="AE57" s="129"/>
      <c r="AF57" s="129"/>
      <c r="AG57" s="129"/>
      <c r="AH57" s="129"/>
      <c r="AI57" s="125"/>
      <c r="AJ57" s="129"/>
      <c r="AK57" s="129"/>
      <c r="AL57" s="129"/>
      <c r="AM57" s="129"/>
      <c r="AN57" s="129"/>
      <c r="AO57" s="129"/>
      <c r="AP57" s="129"/>
      <c r="AQ57" s="129"/>
      <c r="AR57" s="129"/>
      <c r="AS57" s="129"/>
      <c r="AT57" s="129"/>
      <c r="AU57" s="129"/>
      <c r="AV57" s="129"/>
      <c r="AW57" s="129"/>
      <c r="AX57" s="129"/>
      <c r="AY57" s="129"/>
      <c r="AZ57" s="129"/>
      <c r="BA57" s="129"/>
      <c r="BB57" s="129"/>
      <c r="BC57" s="129"/>
      <c r="BD57" s="129"/>
      <c r="BE57" s="125"/>
      <c r="BF57" s="125"/>
      <c r="BG57" s="125"/>
      <c r="BH57" s="129"/>
      <c r="BI57" s="129"/>
      <c r="BJ57" s="125"/>
      <c r="BK57" s="125"/>
      <c r="BL57" s="125"/>
      <c r="BM57" s="125"/>
      <c r="BN57" s="125"/>
      <c r="BO57" s="125"/>
      <c r="BP57" s="125"/>
      <c r="BQ57" s="125"/>
      <c r="BR57" s="125"/>
      <c r="BS57" s="125"/>
      <c r="BT57" s="125"/>
      <c r="BU57" s="125"/>
      <c r="BV57" s="125"/>
      <c r="BW57" s="125"/>
      <c r="BX57" s="125"/>
      <c r="BY57" s="125"/>
      <c r="BZ57" s="125"/>
      <c r="CA57" s="125"/>
      <c r="CB57" s="129"/>
      <c r="CC57" s="125"/>
      <c r="CD57" s="125"/>
      <c r="CE57" s="125"/>
      <c r="CF57" s="125"/>
      <c r="CG57" s="125"/>
      <c r="CH57" s="125"/>
      <c r="CI57" s="125"/>
      <c r="CJ57" s="125"/>
      <c r="CK57" s="125"/>
      <c r="CL57" s="125"/>
      <c r="CM57" s="125"/>
      <c r="CN57" s="125"/>
      <c r="CO57" s="125"/>
      <c r="CP57" s="125"/>
      <c r="CQ57" s="125"/>
      <c r="CR57" s="125"/>
      <c r="CS57" s="125"/>
      <c r="CT57" s="125"/>
      <c r="CU57" s="125"/>
      <c r="CV57" s="125"/>
      <c r="CW57" s="125"/>
      <c r="CX57" s="125"/>
      <c r="CY57" s="125"/>
      <c r="CZ57" s="125"/>
      <c r="DA57" s="125"/>
      <c r="DB57" s="125"/>
      <c r="DC57" s="125"/>
      <c r="DD57" s="125"/>
      <c r="DE57" s="125"/>
      <c r="DF57" s="125"/>
      <c r="DG57" s="125"/>
      <c r="DH57" s="125"/>
      <c r="DI57" s="125"/>
    </row>
    <row r="58" spans="1:113" ht="12.75">
      <c r="A58" s="128"/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  <c r="AA58" s="129"/>
      <c r="AB58" s="129"/>
      <c r="AC58" s="129"/>
      <c r="AD58" s="129"/>
      <c r="AE58" s="129"/>
      <c r="AF58" s="129"/>
      <c r="AG58" s="129"/>
      <c r="AH58" s="129"/>
      <c r="AI58" s="125"/>
      <c r="AJ58" s="129"/>
      <c r="AK58" s="129"/>
      <c r="AL58" s="129"/>
      <c r="AM58" s="129"/>
      <c r="AN58" s="129"/>
      <c r="AO58" s="129"/>
      <c r="AP58" s="129"/>
      <c r="AQ58" s="129"/>
      <c r="AR58" s="129"/>
      <c r="AS58" s="129"/>
      <c r="AT58" s="129"/>
      <c r="AU58" s="129"/>
      <c r="AV58" s="129"/>
      <c r="AW58" s="129"/>
      <c r="AX58" s="129"/>
      <c r="AY58" s="129"/>
      <c r="AZ58" s="129"/>
      <c r="BA58" s="129"/>
      <c r="BB58" s="129"/>
      <c r="BC58" s="129"/>
      <c r="BD58" s="129"/>
      <c r="BE58" s="125"/>
      <c r="BF58" s="125"/>
      <c r="BG58" s="125"/>
      <c r="BH58" s="125"/>
      <c r="BI58" s="129"/>
      <c r="BJ58" s="125"/>
      <c r="BK58" s="125"/>
      <c r="BL58" s="125"/>
      <c r="BM58" s="125"/>
      <c r="BN58" s="125"/>
      <c r="BO58" s="125"/>
      <c r="BP58" s="125"/>
      <c r="BQ58" s="125"/>
      <c r="BR58" s="125"/>
      <c r="BS58" s="125"/>
      <c r="BT58" s="125"/>
      <c r="BU58" s="125"/>
      <c r="BV58" s="125"/>
      <c r="BW58" s="125"/>
      <c r="BX58" s="125"/>
      <c r="BY58" s="125"/>
      <c r="BZ58" s="125"/>
      <c r="CA58" s="125"/>
      <c r="CB58" s="129"/>
      <c r="CC58" s="125"/>
      <c r="CD58" s="125"/>
      <c r="CE58" s="125"/>
      <c r="CF58" s="125"/>
      <c r="CG58" s="125"/>
      <c r="CH58" s="125"/>
      <c r="CI58" s="125"/>
      <c r="CJ58" s="125"/>
      <c r="CK58" s="125"/>
      <c r="CL58" s="125"/>
      <c r="CM58" s="125"/>
      <c r="CN58" s="125"/>
      <c r="CO58" s="125"/>
      <c r="CP58" s="125"/>
      <c r="CQ58" s="125"/>
      <c r="CR58" s="125"/>
      <c r="CS58" s="125"/>
      <c r="CT58" s="125"/>
      <c r="CU58" s="125"/>
      <c r="CV58" s="125"/>
      <c r="CW58" s="125"/>
      <c r="CX58" s="125"/>
      <c r="CY58" s="125"/>
      <c r="CZ58" s="125"/>
      <c r="DA58" s="125"/>
      <c r="DB58" s="125"/>
      <c r="DC58" s="125"/>
      <c r="DD58" s="125"/>
      <c r="DE58" s="125"/>
      <c r="DF58" s="125"/>
      <c r="DG58" s="125"/>
      <c r="DH58" s="125"/>
      <c r="DI58" s="125"/>
    </row>
    <row r="59" spans="1:113" ht="12.75">
      <c r="A59" s="128"/>
      <c r="B59" s="125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29"/>
      <c r="AB59" s="129"/>
      <c r="AC59" s="129"/>
      <c r="AD59" s="129"/>
      <c r="AE59" s="129"/>
      <c r="AF59" s="129"/>
      <c r="AG59" s="129"/>
      <c r="AH59" s="129"/>
      <c r="AI59" s="125"/>
      <c r="AJ59" s="129"/>
      <c r="AK59" s="129"/>
      <c r="AL59" s="129"/>
      <c r="AM59" s="129"/>
      <c r="AN59" s="129"/>
      <c r="AO59" s="129"/>
      <c r="AP59" s="129"/>
      <c r="AQ59" s="129"/>
      <c r="AR59" s="129"/>
      <c r="AS59" s="129"/>
      <c r="AT59" s="129"/>
      <c r="AU59" s="129"/>
      <c r="AV59" s="129"/>
      <c r="AW59" s="129"/>
      <c r="AX59" s="129"/>
      <c r="AY59" s="129"/>
      <c r="AZ59" s="129"/>
      <c r="BA59" s="129"/>
      <c r="BB59" s="129"/>
      <c r="BC59" s="129"/>
      <c r="BD59" s="129"/>
      <c r="BE59" s="129"/>
      <c r="BF59" s="125"/>
      <c r="BG59" s="125"/>
      <c r="BH59" s="125"/>
      <c r="BI59" s="129"/>
      <c r="BJ59" s="125"/>
      <c r="BK59" s="125"/>
      <c r="BL59" s="125"/>
      <c r="BM59" s="125"/>
      <c r="BN59" s="125"/>
      <c r="BO59" s="125"/>
      <c r="BP59" s="125"/>
      <c r="BQ59" s="125"/>
      <c r="BR59" s="125"/>
      <c r="BS59" s="125"/>
      <c r="BT59" s="125"/>
      <c r="BU59" s="125"/>
      <c r="BV59" s="125"/>
      <c r="BW59" s="125"/>
      <c r="BX59" s="125"/>
      <c r="BY59" s="125"/>
      <c r="BZ59" s="125"/>
      <c r="CA59" s="125"/>
      <c r="CB59" s="125"/>
      <c r="CC59" s="125"/>
      <c r="CD59" s="125"/>
      <c r="CE59" s="125"/>
      <c r="CF59" s="125"/>
      <c r="CG59" s="125"/>
      <c r="CH59" s="125"/>
      <c r="CI59" s="125"/>
      <c r="CJ59" s="125"/>
      <c r="CK59" s="125"/>
      <c r="CL59" s="125"/>
      <c r="CM59" s="125"/>
      <c r="CN59" s="125"/>
      <c r="CO59" s="125"/>
      <c r="CP59" s="125"/>
      <c r="CQ59" s="125"/>
      <c r="CR59" s="125"/>
      <c r="CS59" s="125"/>
      <c r="CT59" s="125"/>
      <c r="CU59" s="125"/>
      <c r="CV59" s="125"/>
      <c r="CW59" s="125"/>
      <c r="CX59" s="125"/>
      <c r="CY59" s="125"/>
      <c r="CZ59" s="125"/>
      <c r="DA59" s="125"/>
      <c r="DB59" s="125"/>
      <c r="DC59" s="125"/>
      <c r="DD59" s="125"/>
      <c r="DE59" s="125"/>
      <c r="DF59" s="125"/>
      <c r="DG59" s="125"/>
      <c r="DH59" s="125"/>
      <c r="DI59" s="125"/>
    </row>
    <row r="60" spans="1:113" ht="12.75">
      <c r="A60" s="128"/>
      <c r="B60" s="125"/>
      <c r="C60" s="125"/>
      <c r="D60" s="125"/>
      <c r="E60" s="125"/>
      <c r="F60" s="125"/>
      <c r="G60" s="125"/>
      <c r="H60" s="125"/>
      <c r="I60" s="125"/>
      <c r="J60" s="125"/>
      <c r="K60" s="125"/>
      <c r="L60" s="125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29"/>
      <c r="AA60" s="129"/>
      <c r="AB60" s="129"/>
      <c r="AC60" s="129"/>
      <c r="AD60" s="129"/>
      <c r="AE60" s="129"/>
      <c r="AF60" s="129"/>
      <c r="AG60" s="129"/>
      <c r="AH60" s="129"/>
      <c r="AI60" s="125"/>
      <c r="AJ60" s="129"/>
      <c r="AK60" s="129"/>
      <c r="AL60" s="129"/>
      <c r="AM60" s="129"/>
      <c r="AN60" s="129"/>
      <c r="AO60" s="129"/>
      <c r="AP60" s="129"/>
      <c r="AQ60" s="129"/>
      <c r="AR60" s="129"/>
      <c r="AS60" s="129"/>
      <c r="AT60" s="129"/>
      <c r="AU60" s="129"/>
      <c r="AV60" s="129"/>
      <c r="AW60" s="129"/>
      <c r="AX60" s="129"/>
      <c r="AY60" s="129"/>
      <c r="AZ60" s="129"/>
      <c r="BA60" s="129"/>
      <c r="BB60" s="129"/>
      <c r="BC60" s="129"/>
      <c r="BD60" s="129"/>
      <c r="BE60" s="129"/>
      <c r="BF60" s="125"/>
      <c r="BG60" s="125"/>
      <c r="BH60" s="129"/>
      <c r="BI60" s="129"/>
      <c r="BJ60" s="131"/>
      <c r="BK60" s="125"/>
      <c r="BL60" s="125"/>
      <c r="BM60" s="125"/>
      <c r="BN60" s="129"/>
      <c r="BO60" s="125"/>
      <c r="BP60" s="125"/>
      <c r="BQ60" s="125"/>
      <c r="BR60" s="125"/>
      <c r="BS60" s="125"/>
      <c r="BT60" s="125"/>
      <c r="BU60" s="125"/>
      <c r="BV60" s="125"/>
      <c r="BW60" s="125"/>
      <c r="BX60" s="125"/>
      <c r="BY60" s="125"/>
      <c r="BZ60" s="125"/>
      <c r="CA60" s="125"/>
      <c r="CB60" s="129"/>
      <c r="CC60" s="125"/>
      <c r="CD60" s="125"/>
      <c r="CE60" s="125"/>
      <c r="CF60" s="125"/>
      <c r="CG60" s="125"/>
      <c r="CH60" s="125"/>
      <c r="CI60" s="125"/>
      <c r="CJ60" s="125"/>
      <c r="CK60" s="125"/>
      <c r="CL60" s="125"/>
      <c r="CM60" s="125"/>
      <c r="CN60" s="125"/>
      <c r="CO60" s="125"/>
      <c r="CP60" s="125"/>
      <c r="CQ60" s="125"/>
      <c r="CR60" s="125"/>
      <c r="CS60" s="125"/>
      <c r="CT60" s="125"/>
      <c r="CU60" s="125"/>
      <c r="CV60" s="125"/>
      <c r="CW60" s="125"/>
      <c r="CX60" s="125"/>
      <c r="CY60" s="125"/>
      <c r="CZ60" s="125"/>
      <c r="DA60" s="125"/>
      <c r="DB60" s="125"/>
      <c r="DC60" s="125"/>
      <c r="DD60" s="125"/>
      <c r="DE60" s="125"/>
      <c r="DF60" s="125"/>
      <c r="DG60" s="125"/>
      <c r="DH60" s="125"/>
      <c r="DI60" s="125"/>
    </row>
    <row r="61" spans="1:113" ht="12.75">
      <c r="A61" s="128"/>
      <c r="B61" s="125"/>
      <c r="C61" s="125"/>
      <c r="D61" s="125"/>
      <c r="E61" s="125"/>
      <c r="F61" s="125"/>
      <c r="G61" s="125"/>
      <c r="H61" s="126"/>
      <c r="I61" s="125"/>
      <c r="J61" s="125"/>
      <c r="K61" s="125"/>
      <c r="L61" s="125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29"/>
      <c r="AB61" s="129"/>
      <c r="AC61" s="129"/>
      <c r="AD61" s="129"/>
      <c r="AE61" s="129"/>
      <c r="AF61" s="129"/>
      <c r="AG61" s="129"/>
      <c r="AH61" s="129"/>
      <c r="AI61" s="125"/>
      <c r="AJ61" s="129"/>
      <c r="AK61" s="129"/>
      <c r="AL61" s="129"/>
      <c r="AM61" s="129"/>
      <c r="AN61" s="129"/>
      <c r="AO61" s="129"/>
      <c r="AP61" s="129"/>
      <c r="AQ61" s="129"/>
      <c r="AR61" s="129"/>
      <c r="AS61" s="129"/>
      <c r="AT61" s="129"/>
      <c r="AU61" s="129"/>
      <c r="AV61" s="129"/>
      <c r="AW61" s="129"/>
      <c r="AX61" s="129"/>
      <c r="AY61" s="129"/>
      <c r="AZ61" s="129"/>
      <c r="BA61" s="129"/>
      <c r="BB61" s="129"/>
      <c r="BC61" s="129"/>
      <c r="BD61" s="129"/>
      <c r="BE61" s="125"/>
      <c r="BF61" s="125"/>
      <c r="BG61" s="125"/>
      <c r="BH61" s="129"/>
      <c r="BI61" s="129"/>
      <c r="BJ61" s="125"/>
      <c r="BK61" s="125"/>
      <c r="BL61" s="125"/>
      <c r="BM61" s="125"/>
      <c r="BN61" s="125"/>
      <c r="BO61" s="125"/>
      <c r="BP61" s="125"/>
      <c r="BQ61" s="125"/>
      <c r="BR61" s="125"/>
      <c r="BS61" s="125"/>
      <c r="BT61" s="125"/>
      <c r="BU61" s="125"/>
      <c r="BV61" s="125"/>
      <c r="BW61" s="125"/>
      <c r="BX61" s="125"/>
      <c r="BY61" s="125"/>
      <c r="BZ61" s="125"/>
      <c r="CA61" s="125"/>
      <c r="CB61" s="129"/>
      <c r="CC61" s="129"/>
      <c r="CD61" s="125"/>
      <c r="CE61" s="125"/>
      <c r="CF61" s="125"/>
      <c r="CG61" s="125"/>
      <c r="CH61" s="125"/>
      <c r="CI61" s="125"/>
      <c r="CJ61" s="125"/>
      <c r="CK61" s="125"/>
      <c r="CL61" s="125"/>
      <c r="CM61" s="125"/>
      <c r="CN61" s="125"/>
      <c r="CO61" s="125"/>
      <c r="CP61" s="125"/>
      <c r="CQ61" s="125"/>
      <c r="CR61" s="125"/>
      <c r="CS61" s="125"/>
      <c r="CT61" s="125"/>
      <c r="CU61" s="125"/>
      <c r="CV61" s="125"/>
      <c r="CW61" s="125"/>
      <c r="CX61" s="125"/>
      <c r="CY61" s="125"/>
      <c r="CZ61" s="125"/>
      <c r="DA61" s="125"/>
      <c r="DB61" s="125"/>
      <c r="DC61" s="125"/>
      <c r="DD61" s="125"/>
      <c r="DE61" s="125"/>
      <c r="DF61" s="125"/>
      <c r="DG61" s="125"/>
      <c r="DH61" s="125"/>
      <c r="DI61" s="125"/>
    </row>
    <row r="62" spans="1:113" ht="12.75">
      <c r="A62" s="128"/>
      <c r="B62" s="125"/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  <c r="AF62" s="129"/>
      <c r="AG62" s="129"/>
      <c r="AH62" s="129"/>
      <c r="AI62" s="125"/>
      <c r="AJ62" s="129"/>
      <c r="AK62" s="129"/>
      <c r="AL62" s="129"/>
      <c r="AM62" s="129"/>
      <c r="AN62" s="129"/>
      <c r="AO62" s="129"/>
      <c r="AP62" s="129"/>
      <c r="AQ62" s="129"/>
      <c r="AR62" s="129"/>
      <c r="AS62" s="129"/>
      <c r="AT62" s="129"/>
      <c r="AU62" s="129"/>
      <c r="AV62" s="129"/>
      <c r="AW62" s="129"/>
      <c r="AX62" s="129"/>
      <c r="AY62" s="129"/>
      <c r="AZ62" s="129"/>
      <c r="BA62" s="129"/>
      <c r="BB62" s="129"/>
      <c r="BC62" s="129"/>
      <c r="BD62" s="129"/>
      <c r="BE62" s="129"/>
      <c r="BF62" s="125"/>
      <c r="BG62" s="125"/>
      <c r="BH62" s="125"/>
      <c r="BI62" s="129"/>
      <c r="BJ62" s="125"/>
      <c r="BK62" s="125"/>
      <c r="BL62" s="125"/>
      <c r="BM62" s="125"/>
      <c r="BN62" s="125"/>
      <c r="BO62" s="125"/>
      <c r="BP62" s="125"/>
      <c r="BQ62" s="125"/>
      <c r="BR62" s="125"/>
      <c r="BS62" s="125"/>
      <c r="BT62" s="125"/>
      <c r="BU62" s="125"/>
      <c r="BV62" s="126"/>
      <c r="BW62" s="125"/>
      <c r="BX62" s="125"/>
      <c r="BY62" s="125"/>
      <c r="BZ62" s="125"/>
      <c r="CA62" s="125"/>
      <c r="CB62" s="129"/>
      <c r="CC62" s="125"/>
      <c r="CD62" s="125"/>
      <c r="CE62" s="125"/>
      <c r="CF62" s="125"/>
      <c r="CG62" s="125"/>
      <c r="CH62" s="125"/>
      <c r="CI62" s="125"/>
      <c r="CJ62" s="125"/>
      <c r="CK62" s="125"/>
      <c r="CL62" s="125"/>
      <c r="CM62" s="125"/>
      <c r="CN62" s="125"/>
      <c r="CO62" s="125"/>
      <c r="CP62" s="125"/>
      <c r="CQ62" s="125"/>
      <c r="CR62" s="125"/>
      <c r="CS62" s="125"/>
      <c r="CT62" s="125"/>
      <c r="CU62" s="125"/>
      <c r="CV62" s="125"/>
      <c r="CW62" s="125"/>
      <c r="CX62" s="125"/>
      <c r="CY62" s="125"/>
      <c r="CZ62" s="125"/>
      <c r="DA62" s="125"/>
      <c r="DB62" s="125"/>
      <c r="DC62" s="125"/>
      <c r="DD62" s="125"/>
      <c r="DE62" s="125"/>
      <c r="DF62" s="125"/>
      <c r="DG62" s="125"/>
      <c r="DH62" s="125"/>
      <c r="DI62" s="125"/>
    </row>
    <row r="63" spans="1:113" ht="12.75">
      <c r="A63" s="128"/>
      <c r="B63" s="125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9"/>
      <c r="N63" s="129"/>
      <c r="O63" s="129"/>
      <c r="P63" s="129"/>
      <c r="Q63" s="129"/>
      <c r="R63" s="129"/>
      <c r="S63" s="129"/>
      <c r="T63" s="129"/>
      <c r="U63" s="129"/>
      <c r="V63" s="129"/>
      <c r="W63" s="129"/>
      <c r="X63" s="129"/>
      <c r="Y63" s="129"/>
      <c r="Z63" s="129"/>
      <c r="AA63" s="129"/>
      <c r="AB63" s="129"/>
      <c r="AC63" s="129"/>
      <c r="AD63" s="129"/>
      <c r="AE63" s="129"/>
      <c r="AF63" s="129"/>
      <c r="AG63" s="129"/>
      <c r="AH63" s="129"/>
      <c r="AI63" s="125"/>
      <c r="AJ63" s="129"/>
      <c r="AK63" s="129"/>
      <c r="AL63" s="129"/>
      <c r="AM63" s="129"/>
      <c r="AN63" s="129"/>
      <c r="AO63" s="129"/>
      <c r="AP63" s="129"/>
      <c r="AQ63" s="129"/>
      <c r="AR63" s="129"/>
      <c r="AS63" s="129"/>
      <c r="AT63" s="129"/>
      <c r="AU63" s="129"/>
      <c r="AV63" s="129"/>
      <c r="AW63" s="129"/>
      <c r="AX63" s="129"/>
      <c r="AY63" s="129"/>
      <c r="AZ63" s="129"/>
      <c r="BA63" s="129"/>
      <c r="BB63" s="129"/>
      <c r="BC63" s="129"/>
      <c r="BD63" s="129"/>
      <c r="BE63" s="129"/>
      <c r="BF63" s="125"/>
      <c r="BG63" s="129"/>
      <c r="BH63" s="125"/>
      <c r="BI63" s="129"/>
      <c r="BJ63" s="125"/>
      <c r="BK63" s="125"/>
      <c r="BL63" s="125"/>
      <c r="BM63" s="125"/>
      <c r="BN63" s="125"/>
      <c r="BO63" s="125"/>
      <c r="BP63" s="125"/>
      <c r="BQ63" s="125"/>
      <c r="BR63" s="125"/>
      <c r="BS63" s="125"/>
      <c r="BT63" s="125"/>
      <c r="BU63" s="125"/>
      <c r="BV63" s="126"/>
      <c r="BW63" s="125"/>
      <c r="BX63" s="125"/>
      <c r="BY63" s="125"/>
      <c r="BZ63" s="125"/>
      <c r="CA63" s="125"/>
      <c r="CB63" s="129"/>
      <c r="CC63" s="125"/>
      <c r="CD63" s="125"/>
      <c r="CE63" s="125"/>
      <c r="CF63" s="125"/>
      <c r="CG63" s="125"/>
      <c r="CH63" s="125"/>
      <c r="CI63" s="125"/>
      <c r="CJ63" s="125"/>
      <c r="CK63" s="125"/>
      <c r="CL63" s="125"/>
      <c r="CM63" s="125"/>
      <c r="CN63" s="125"/>
      <c r="CO63" s="125"/>
      <c r="CP63" s="125"/>
      <c r="CQ63" s="125"/>
      <c r="CR63" s="125"/>
      <c r="CS63" s="125"/>
      <c r="CT63" s="125"/>
      <c r="CU63" s="125"/>
      <c r="CV63" s="125"/>
      <c r="CW63" s="125"/>
      <c r="CX63" s="125"/>
      <c r="CY63" s="125"/>
      <c r="CZ63" s="125"/>
      <c r="DA63" s="125"/>
      <c r="DB63" s="125"/>
      <c r="DC63" s="125"/>
      <c r="DD63" s="125"/>
      <c r="DE63" s="125"/>
      <c r="DF63" s="125"/>
      <c r="DG63" s="125"/>
      <c r="DH63" s="125"/>
      <c r="DI63" s="125"/>
    </row>
    <row r="64" spans="1:113" ht="12.75">
      <c r="A64" s="128"/>
      <c r="B64" s="125"/>
      <c r="C64" s="125"/>
      <c r="D64" s="125"/>
      <c r="E64" s="125"/>
      <c r="F64" s="125"/>
      <c r="G64" s="125"/>
      <c r="H64" s="126"/>
      <c r="I64" s="125"/>
      <c r="J64" s="125"/>
      <c r="K64" s="125"/>
      <c r="L64" s="125"/>
      <c r="M64" s="129"/>
      <c r="N64" s="129"/>
      <c r="O64" s="129"/>
      <c r="P64" s="129"/>
      <c r="Q64" s="129"/>
      <c r="R64" s="129"/>
      <c r="S64" s="129"/>
      <c r="T64" s="129"/>
      <c r="U64" s="129"/>
      <c r="V64" s="129"/>
      <c r="W64" s="129"/>
      <c r="X64" s="129"/>
      <c r="Y64" s="129"/>
      <c r="Z64" s="129"/>
      <c r="AA64" s="129"/>
      <c r="AB64" s="129"/>
      <c r="AC64" s="129"/>
      <c r="AD64" s="129"/>
      <c r="AE64" s="129"/>
      <c r="AF64" s="129"/>
      <c r="AG64" s="129"/>
      <c r="AH64" s="129"/>
      <c r="AI64" s="125"/>
      <c r="AJ64" s="129"/>
      <c r="AK64" s="129"/>
      <c r="AL64" s="129"/>
      <c r="AM64" s="129"/>
      <c r="AN64" s="129"/>
      <c r="AO64" s="129"/>
      <c r="AP64" s="129"/>
      <c r="AQ64" s="129"/>
      <c r="AR64" s="129"/>
      <c r="AS64" s="129"/>
      <c r="AT64" s="129"/>
      <c r="AU64" s="129"/>
      <c r="AV64" s="129"/>
      <c r="AW64" s="129"/>
      <c r="AX64" s="129"/>
      <c r="AY64" s="129"/>
      <c r="AZ64" s="129"/>
      <c r="BA64" s="129"/>
      <c r="BB64" s="129"/>
      <c r="BC64" s="129"/>
      <c r="BD64" s="129"/>
      <c r="BE64" s="125"/>
      <c r="BF64" s="125"/>
      <c r="BG64" s="129"/>
      <c r="BH64" s="125"/>
      <c r="BI64" s="129"/>
      <c r="BJ64" s="125"/>
      <c r="BK64" s="125"/>
      <c r="BL64" s="125"/>
      <c r="BM64" s="125"/>
      <c r="BN64" s="125"/>
      <c r="BO64" s="125"/>
      <c r="BP64" s="125"/>
      <c r="BQ64" s="125"/>
      <c r="BR64" s="125"/>
      <c r="BS64" s="125"/>
      <c r="BT64" s="125"/>
      <c r="BU64" s="125"/>
      <c r="BV64" s="125"/>
      <c r="BW64" s="125"/>
      <c r="BX64" s="125"/>
      <c r="BY64" s="125"/>
      <c r="BZ64" s="125"/>
      <c r="CA64" s="125"/>
      <c r="CB64" s="129"/>
      <c r="CC64" s="129"/>
      <c r="CD64" s="125"/>
      <c r="CE64" s="125"/>
      <c r="CF64" s="125"/>
      <c r="CG64" s="125"/>
      <c r="CH64" s="125"/>
      <c r="CI64" s="125"/>
      <c r="CJ64" s="125"/>
      <c r="CK64" s="125"/>
      <c r="CL64" s="125"/>
      <c r="CM64" s="125"/>
      <c r="CN64" s="125"/>
      <c r="CO64" s="125"/>
      <c r="CP64" s="125"/>
      <c r="CQ64" s="125"/>
      <c r="CR64" s="125"/>
      <c r="CS64" s="125"/>
      <c r="CT64" s="125"/>
      <c r="CU64" s="125"/>
      <c r="CV64" s="125"/>
      <c r="CW64" s="125"/>
      <c r="CX64" s="125"/>
      <c r="CY64" s="125"/>
      <c r="CZ64" s="125"/>
      <c r="DA64" s="125"/>
      <c r="DB64" s="125"/>
      <c r="DC64" s="125"/>
      <c r="DD64" s="125"/>
      <c r="DE64" s="125"/>
      <c r="DF64" s="125"/>
      <c r="DG64" s="125"/>
      <c r="DH64" s="125"/>
      <c r="DI64" s="125"/>
    </row>
    <row r="65" spans="1:113" ht="12.75">
      <c r="A65" s="128"/>
      <c r="B65" s="125"/>
      <c r="C65" s="125"/>
      <c r="D65" s="125"/>
      <c r="E65" s="125"/>
      <c r="F65" s="125"/>
      <c r="G65" s="125"/>
      <c r="H65" s="126"/>
      <c r="I65" s="125"/>
      <c r="J65" s="125"/>
      <c r="K65" s="125"/>
      <c r="L65" s="125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  <c r="AA65" s="129"/>
      <c r="AB65" s="129"/>
      <c r="AC65" s="129"/>
      <c r="AD65" s="129"/>
      <c r="AE65" s="129"/>
      <c r="AF65" s="129"/>
      <c r="AG65" s="129"/>
      <c r="AH65" s="129"/>
      <c r="AI65" s="125"/>
      <c r="AJ65" s="129"/>
      <c r="AK65" s="129"/>
      <c r="AL65" s="129"/>
      <c r="AM65" s="129"/>
      <c r="AN65" s="129"/>
      <c r="AO65" s="129"/>
      <c r="AP65" s="129"/>
      <c r="AQ65" s="129"/>
      <c r="AR65" s="129"/>
      <c r="AS65" s="129"/>
      <c r="AT65" s="129"/>
      <c r="AU65" s="129"/>
      <c r="AV65" s="129"/>
      <c r="AW65" s="129"/>
      <c r="AX65" s="129"/>
      <c r="AY65" s="129"/>
      <c r="AZ65" s="129"/>
      <c r="BA65" s="129"/>
      <c r="BB65" s="129"/>
      <c r="BC65" s="129"/>
      <c r="BD65" s="129"/>
      <c r="BE65" s="125"/>
      <c r="BF65" s="125"/>
      <c r="BG65" s="129"/>
      <c r="BH65" s="125"/>
      <c r="BI65" s="129"/>
      <c r="BJ65" s="125"/>
      <c r="BK65" s="125"/>
      <c r="BL65" s="125"/>
      <c r="BM65" s="125"/>
      <c r="BN65" s="125"/>
      <c r="BO65" s="125"/>
      <c r="BP65" s="125"/>
      <c r="BQ65" s="125"/>
      <c r="BR65" s="125"/>
      <c r="BS65" s="125"/>
      <c r="BT65" s="125"/>
      <c r="BU65" s="125"/>
      <c r="BV65" s="126"/>
      <c r="BW65" s="125"/>
      <c r="BX65" s="125"/>
      <c r="BY65" s="125"/>
      <c r="BZ65" s="125"/>
      <c r="CA65" s="125"/>
      <c r="CB65" s="129"/>
      <c r="CC65" s="125"/>
      <c r="CD65" s="125"/>
      <c r="CE65" s="125"/>
      <c r="CF65" s="125"/>
      <c r="CG65" s="125"/>
      <c r="CH65" s="125"/>
      <c r="CI65" s="125"/>
      <c r="CJ65" s="125"/>
      <c r="CK65" s="125"/>
      <c r="CL65" s="125"/>
      <c r="CM65" s="125"/>
      <c r="CN65" s="125"/>
      <c r="CO65" s="125"/>
      <c r="CP65" s="125"/>
      <c r="CQ65" s="125"/>
      <c r="CR65" s="125"/>
      <c r="CS65" s="125"/>
      <c r="CT65" s="125"/>
      <c r="CU65" s="125"/>
      <c r="CV65" s="125"/>
      <c r="CW65" s="125"/>
      <c r="CX65" s="125"/>
      <c r="CY65" s="125"/>
      <c r="CZ65" s="125"/>
      <c r="DA65" s="125"/>
      <c r="DB65" s="125"/>
      <c r="DC65" s="125"/>
      <c r="DD65" s="125"/>
      <c r="DE65" s="125"/>
      <c r="DF65" s="125"/>
      <c r="DG65" s="125"/>
      <c r="DH65" s="125"/>
      <c r="DI65" s="125"/>
    </row>
    <row r="66" spans="1:113" ht="12.75">
      <c r="A66" s="128"/>
      <c r="B66" s="125"/>
      <c r="C66" s="125"/>
      <c r="D66" s="125"/>
      <c r="E66" s="125"/>
      <c r="F66" s="125"/>
      <c r="G66" s="125"/>
      <c r="H66" s="126"/>
      <c r="I66" s="125"/>
      <c r="J66" s="125"/>
      <c r="K66" s="125"/>
      <c r="L66" s="125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  <c r="AA66" s="129"/>
      <c r="AB66" s="129"/>
      <c r="AC66" s="129"/>
      <c r="AD66" s="129"/>
      <c r="AE66" s="129"/>
      <c r="AF66" s="129"/>
      <c r="AG66" s="129"/>
      <c r="AH66" s="129"/>
      <c r="AI66" s="125"/>
      <c r="AJ66" s="129"/>
      <c r="AK66" s="129"/>
      <c r="AL66" s="129"/>
      <c r="AM66" s="129"/>
      <c r="AN66" s="129"/>
      <c r="AO66" s="129"/>
      <c r="AP66" s="129"/>
      <c r="AQ66" s="129"/>
      <c r="AR66" s="129"/>
      <c r="AS66" s="129"/>
      <c r="AT66" s="129"/>
      <c r="AU66" s="129"/>
      <c r="AV66" s="129"/>
      <c r="AW66" s="129"/>
      <c r="AX66" s="129"/>
      <c r="AY66" s="129"/>
      <c r="AZ66" s="129"/>
      <c r="BA66" s="129"/>
      <c r="BB66" s="129"/>
      <c r="BC66" s="129"/>
      <c r="BD66" s="129"/>
      <c r="BE66" s="125"/>
      <c r="BF66" s="125"/>
      <c r="BG66" s="125"/>
      <c r="BH66" s="129"/>
      <c r="BI66" s="129"/>
      <c r="BJ66" s="125"/>
      <c r="BK66" s="125"/>
      <c r="BL66" s="125"/>
      <c r="BM66" s="125"/>
      <c r="BN66" s="125"/>
      <c r="BO66" s="125"/>
      <c r="BP66" s="125"/>
      <c r="BQ66" s="125"/>
      <c r="BR66" s="125"/>
      <c r="BS66" s="125"/>
      <c r="BT66" s="125"/>
      <c r="BU66" s="125"/>
      <c r="BV66" s="125"/>
      <c r="BW66" s="125"/>
      <c r="BX66" s="125"/>
      <c r="BY66" s="125"/>
      <c r="BZ66" s="125"/>
      <c r="CA66" s="125"/>
      <c r="CB66" s="129"/>
      <c r="CC66" s="129"/>
      <c r="CD66" s="125"/>
      <c r="CE66" s="125"/>
      <c r="CF66" s="125"/>
      <c r="CG66" s="125"/>
      <c r="CH66" s="125"/>
      <c r="CI66" s="125"/>
      <c r="CJ66" s="125"/>
      <c r="CK66" s="125"/>
      <c r="CL66" s="125"/>
      <c r="CM66" s="125"/>
      <c r="CN66" s="125"/>
      <c r="CO66" s="125"/>
      <c r="CP66" s="125"/>
      <c r="CQ66" s="125"/>
      <c r="CR66" s="125"/>
      <c r="CS66" s="125"/>
      <c r="CT66" s="125"/>
      <c r="CU66" s="125"/>
      <c r="CV66" s="125"/>
      <c r="CW66" s="125"/>
      <c r="CX66" s="125"/>
      <c r="CY66" s="125"/>
      <c r="CZ66" s="125"/>
      <c r="DA66" s="125"/>
      <c r="DB66" s="125"/>
      <c r="DC66" s="125"/>
      <c r="DD66" s="125"/>
      <c r="DE66" s="125"/>
      <c r="DF66" s="125"/>
      <c r="DG66" s="125"/>
      <c r="DH66" s="125"/>
      <c r="DI66" s="125"/>
    </row>
    <row r="67" spans="1:113" ht="12.75">
      <c r="A67" s="128"/>
      <c r="B67" s="125"/>
      <c r="C67" s="125"/>
      <c r="D67" s="125"/>
      <c r="E67" s="125"/>
      <c r="F67" s="125"/>
      <c r="G67" s="125"/>
      <c r="H67" s="126"/>
      <c r="I67" s="125"/>
      <c r="J67" s="125"/>
      <c r="K67" s="125"/>
      <c r="L67" s="125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  <c r="AA67" s="129"/>
      <c r="AB67" s="129"/>
      <c r="AC67" s="129"/>
      <c r="AD67" s="129"/>
      <c r="AE67" s="129"/>
      <c r="AF67" s="129"/>
      <c r="AG67" s="129"/>
      <c r="AH67" s="129"/>
      <c r="AI67" s="125"/>
      <c r="AJ67" s="129"/>
      <c r="AK67" s="129"/>
      <c r="AL67" s="129"/>
      <c r="AM67" s="129"/>
      <c r="AN67" s="129"/>
      <c r="AO67" s="129"/>
      <c r="AP67" s="129"/>
      <c r="AQ67" s="129"/>
      <c r="AR67" s="129"/>
      <c r="AS67" s="129"/>
      <c r="AT67" s="129"/>
      <c r="AU67" s="129"/>
      <c r="AV67" s="129"/>
      <c r="AW67" s="129"/>
      <c r="AX67" s="129"/>
      <c r="AY67" s="129"/>
      <c r="AZ67" s="129"/>
      <c r="BA67" s="129"/>
      <c r="BB67" s="129"/>
      <c r="BC67" s="129"/>
      <c r="BD67" s="129"/>
      <c r="BE67" s="125"/>
      <c r="BF67" s="125"/>
      <c r="BG67" s="125"/>
      <c r="BH67" s="129"/>
      <c r="BI67" s="129"/>
      <c r="BJ67" s="125"/>
      <c r="BK67" s="125"/>
      <c r="BL67" s="125"/>
      <c r="BM67" s="125"/>
      <c r="BN67" s="125"/>
      <c r="BO67" s="125"/>
      <c r="BP67" s="125"/>
      <c r="BQ67" s="125"/>
      <c r="BR67" s="125"/>
      <c r="BS67" s="125"/>
      <c r="BT67" s="125"/>
      <c r="BU67" s="125"/>
      <c r="BV67" s="126"/>
      <c r="BW67" s="125"/>
      <c r="BX67" s="125"/>
      <c r="BY67" s="125"/>
      <c r="BZ67" s="125"/>
      <c r="CA67" s="125"/>
      <c r="CB67" s="129"/>
      <c r="CC67" s="125"/>
      <c r="CD67" s="125"/>
      <c r="CE67" s="125"/>
      <c r="CF67" s="125"/>
      <c r="CG67" s="125"/>
      <c r="CH67" s="125"/>
      <c r="CI67" s="125"/>
      <c r="CJ67" s="125"/>
      <c r="CK67" s="125"/>
      <c r="CL67" s="125"/>
      <c r="CM67" s="125"/>
      <c r="CN67" s="125"/>
      <c r="CO67" s="125"/>
      <c r="CP67" s="125"/>
      <c r="CQ67" s="125"/>
      <c r="CR67" s="125"/>
      <c r="CS67" s="125"/>
      <c r="CT67" s="125"/>
      <c r="CU67" s="125"/>
      <c r="CV67" s="125"/>
      <c r="CW67" s="125"/>
      <c r="CX67" s="125"/>
      <c r="CY67" s="125"/>
      <c r="CZ67" s="125"/>
      <c r="DA67" s="125"/>
      <c r="DB67" s="125"/>
      <c r="DC67" s="125"/>
      <c r="DD67" s="125"/>
      <c r="DE67" s="125"/>
      <c r="DF67" s="125"/>
      <c r="DG67" s="125"/>
      <c r="DH67" s="125"/>
      <c r="DI67" s="125"/>
    </row>
    <row r="68" spans="1:113" ht="12.75">
      <c r="A68" s="128"/>
      <c r="B68" s="125"/>
      <c r="C68" s="125"/>
      <c r="D68" s="125"/>
      <c r="E68" s="125"/>
      <c r="F68" s="125"/>
      <c r="G68" s="125"/>
      <c r="H68" s="125"/>
      <c r="I68" s="125"/>
      <c r="J68" s="125"/>
      <c r="K68" s="125"/>
      <c r="L68" s="125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  <c r="Z68" s="129"/>
      <c r="AA68" s="129"/>
      <c r="AB68" s="129"/>
      <c r="AC68" s="129"/>
      <c r="AD68" s="129"/>
      <c r="AE68" s="129"/>
      <c r="AF68" s="129"/>
      <c r="AG68" s="129"/>
      <c r="AH68" s="129"/>
      <c r="AI68" s="125"/>
      <c r="AJ68" s="129"/>
      <c r="AK68" s="129"/>
      <c r="AL68" s="129"/>
      <c r="AM68" s="129"/>
      <c r="AN68" s="129"/>
      <c r="AO68" s="129"/>
      <c r="AP68" s="129"/>
      <c r="AQ68" s="129"/>
      <c r="AR68" s="129"/>
      <c r="AS68" s="129"/>
      <c r="AT68" s="129"/>
      <c r="AU68" s="129"/>
      <c r="AV68" s="129"/>
      <c r="AW68" s="129"/>
      <c r="AX68" s="129"/>
      <c r="AY68" s="129"/>
      <c r="AZ68" s="129"/>
      <c r="BA68" s="129"/>
      <c r="BB68" s="129"/>
      <c r="BC68" s="129"/>
      <c r="BD68" s="129"/>
      <c r="BE68" s="129"/>
      <c r="BF68" s="129"/>
      <c r="BG68" s="129"/>
      <c r="BH68" s="129"/>
      <c r="BI68" s="129"/>
      <c r="BJ68" s="125"/>
      <c r="BK68" s="125"/>
      <c r="BL68" s="125"/>
      <c r="BM68" s="125"/>
      <c r="BN68" s="125"/>
      <c r="BO68" s="125"/>
      <c r="BP68" s="125"/>
      <c r="BQ68" s="125"/>
      <c r="BR68" s="125"/>
      <c r="BS68" s="125"/>
      <c r="BT68" s="125"/>
      <c r="BU68" s="125"/>
      <c r="BV68" s="126"/>
      <c r="BW68" s="125"/>
      <c r="BX68" s="125"/>
      <c r="BY68" s="125"/>
      <c r="BZ68" s="125"/>
      <c r="CA68" s="125"/>
      <c r="CB68" s="129"/>
      <c r="CC68" s="125"/>
      <c r="CD68" s="125"/>
      <c r="CE68" s="125"/>
      <c r="CF68" s="125"/>
      <c r="CG68" s="125"/>
      <c r="CH68" s="125"/>
      <c r="CI68" s="125"/>
      <c r="CJ68" s="125"/>
      <c r="CK68" s="125"/>
      <c r="CL68" s="125"/>
      <c r="CM68" s="125"/>
      <c r="CN68" s="125"/>
      <c r="CO68" s="125"/>
      <c r="CP68" s="125"/>
      <c r="CQ68" s="125"/>
      <c r="CR68" s="125"/>
      <c r="CS68" s="125"/>
      <c r="CT68" s="125"/>
      <c r="CU68" s="125"/>
      <c r="CV68" s="125"/>
      <c r="CW68" s="125"/>
      <c r="CX68" s="125"/>
      <c r="CY68" s="125"/>
      <c r="CZ68" s="125"/>
      <c r="DA68" s="125"/>
      <c r="DB68" s="125"/>
      <c r="DC68" s="125"/>
      <c r="DD68" s="125"/>
      <c r="DE68" s="125"/>
      <c r="DF68" s="125"/>
      <c r="DG68" s="125"/>
      <c r="DH68" s="125"/>
      <c r="DI68" s="125"/>
    </row>
    <row r="69" spans="1:113" ht="12.75">
      <c r="A69" s="128"/>
      <c r="B69" s="125"/>
      <c r="C69" s="125"/>
      <c r="D69" s="125"/>
      <c r="E69" s="125"/>
      <c r="F69" s="125"/>
      <c r="G69" s="125"/>
      <c r="H69" s="126"/>
      <c r="I69" s="125"/>
      <c r="J69" s="125"/>
      <c r="K69" s="125"/>
      <c r="L69" s="125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29"/>
      <c r="AA69" s="129"/>
      <c r="AB69" s="129"/>
      <c r="AC69" s="129"/>
      <c r="AD69" s="129"/>
      <c r="AE69" s="129"/>
      <c r="AF69" s="129"/>
      <c r="AG69" s="129"/>
      <c r="AH69" s="129"/>
      <c r="AI69" s="125"/>
      <c r="AJ69" s="129"/>
      <c r="AK69" s="129"/>
      <c r="AL69" s="129"/>
      <c r="AM69" s="129"/>
      <c r="AN69" s="129"/>
      <c r="AO69" s="129"/>
      <c r="AP69" s="129"/>
      <c r="AQ69" s="129"/>
      <c r="AR69" s="129"/>
      <c r="AS69" s="129"/>
      <c r="AT69" s="129"/>
      <c r="AU69" s="129"/>
      <c r="AV69" s="129"/>
      <c r="AW69" s="129"/>
      <c r="AX69" s="129"/>
      <c r="AY69" s="129"/>
      <c r="AZ69" s="129"/>
      <c r="BA69" s="129"/>
      <c r="BB69" s="129"/>
      <c r="BC69" s="129"/>
      <c r="BD69" s="129"/>
      <c r="BE69" s="125"/>
      <c r="BF69" s="125"/>
      <c r="BG69" s="125"/>
      <c r="BH69" s="129"/>
      <c r="BI69" s="129"/>
      <c r="BJ69" s="125"/>
      <c r="BK69" s="125"/>
      <c r="BL69" s="125"/>
      <c r="BM69" s="125"/>
      <c r="BN69" s="125"/>
      <c r="BO69" s="125"/>
      <c r="BP69" s="125"/>
      <c r="BQ69" s="125"/>
      <c r="BR69" s="125"/>
      <c r="BS69" s="125"/>
      <c r="BT69" s="125"/>
      <c r="BU69" s="125"/>
      <c r="BV69" s="125"/>
      <c r="BW69" s="125"/>
      <c r="BX69" s="125"/>
      <c r="BY69" s="125"/>
      <c r="BZ69" s="125"/>
      <c r="CA69" s="125"/>
      <c r="CB69" s="129"/>
      <c r="CC69" s="129"/>
      <c r="CD69" s="125"/>
      <c r="CE69" s="125"/>
      <c r="CF69" s="125"/>
      <c r="CG69" s="125"/>
      <c r="CH69" s="125"/>
      <c r="CI69" s="125"/>
      <c r="CJ69" s="125"/>
      <c r="CK69" s="125"/>
      <c r="CL69" s="125"/>
      <c r="CM69" s="125"/>
      <c r="CN69" s="125"/>
      <c r="CO69" s="125"/>
      <c r="CP69" s="125"/>
      <c r="CQ69" s="125"/>
      <c r="CR69" s="125"/>
      <c r="CS69" s="125"/>
      <c r="CT69" s="125"/>
      <c r="CU69" s="125"/>
      <c r="CV69" s="125"/>
      <c r="CW69" s="125"/>
      <c r="CX69" s="125"/>
      <c r="CY69" s="125"/>
      <c r="CZ69" s="125"/>
      <c r="DA69" s="125"/>
      <c r="DB69" s="125"/>
      <c r="DC69" s="125"/>
      <c r="DD69" s="125"/>
      <c r="DE69" s="125"/>
      <c r="DF69" s="125"/>
      <c r="DG69" s="125"/>
      <c r="DH69" s="125"/>
      <c r="DI69" s="125"/>
    </row>
    <row r="70" spans="1:113" ht="12.75">
      <c r="A70" s="128"/>
      <c r="B70" s="125"/>
      <c r="C70" s="125"/>
      <c r="D70" s="125"/>
      <c r="E70" s="125"/>
      <c r="F70" s="125"/>
      <c r="G70" s="125"/>
      <c r="H70" s="125"/>
      <c r="I70" s="125"/>
      <c r="J70" s="125"/>
      <c r="K70" s="125"/>
      <c r="L70" s="125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29"/>
      <c r="AA70" s="129"/>
      <c r="AB70" s="129"/>
      <c r="AC70" s="129"/>
      <c r="AD70" s="129"/>
      <c r="AE70" s="129"/>
      <c r="AF70" s="129"/>
      <c r="AG70" s="129"/>
      <c r="AH70" s="129"/>
      <c r="AI70" s="125"/>
      <c r="AJ70" s="129"/>
      <c r="AK70" s="129"/>
      <c r="AL70" s="129"/>
      <c r="AM70" s="129"/>
      <c r="AN70" s="129"/>
      <c r="AO70" s="129"/>
      <c r="AP70" s="129"/>
      <c r="AQ70" s="129"/>
      <c r="AR70" s="129"/>
      <c r="AS70" s="129"/>
      <c r="AT70" s="129"/>
      <c r="AU70" s="129"/>
      <c r="AV70" s="129"/>
      <c r="AW70" s="129"/>
      <c r="AX70" s="129"/>
      <c r="AY70" s="129"/>
      <c r="AZ70" s="129"/>
      <c r="BA70" s="129"/>
      <c r="BB70" s="129"/>
      <c r="BC70" s="129"/>
      <c r="BD70" s="129"/>
      <c r="BE70" s="129"/>
      <c r="BF70" s="129"/>
      <c r="BG70" s="129"/>
      <c r="BH70" s="125"/>
      <c r="BI70" s="129"/>
      <c r="BJ70" s="125"/>
      <c r="BK70" s="125"/>
      <c r="BL70" s="125"/>
      <c r="BM70" s="125"/>
      <c r="BN70" s="129"/>
      <c r="BO70" s="126"/>
      <c r="BP70" s="125"/>
      <c r="BQ70" s="125"/>
      <c r="BR70" s="125"/>
      <c r="BS70" s="125"/>
      <c r="BT70" s="125"/>
      <c r="BU70" s="125"/>
      <c r="BV70" s="126"/>
      <c r="BW70" s="125"/>
      <c r="BX70" s="125"/>
      <c r="BY70" s="125"/>
      <c r="BZ70" s="125"/>
      <c r="CA70" s="125"/>
      <c r="CB70" s="129"/>
      <c r="CC70" s="125"/>
      <c r="CD70" s="125"/>
      <c r="CE70" s="125"/>
      <c r="CF70" s="125"/>
      <c r="CG70" s="125"/>
      <c r="CH70" s="125"/>
      <c r="CI70" s="125"/>
      <c r="CJ70" s="125"/>
      <c r="CK70" s="125"/>
      <c r="CL70" s="125"/>
      <c r="CM70" s="125"/>
      <c r="CN70" s="125"/>
      <c r="CO70" s="125"/>
      <c r="CP70" s="125"/>
      <c r="CQ70" s="125"/>
      <c r="CR70" s="125"/>
      <c r="CS70" s="125"/>
      <c r="CT70" s="125"/>
      <c r="CU70" s="125"/>
      <c r="CV70" s="125"/>
      <c r="CW70" s="125"/>
      <c r="CX70" s="125"/>
      <c r="CY70" s="125"/>
      <c r="CZ70" s="125"/>
      <c r="DA70" s="125"/>
      <c r="DB70" s="125"/>
      <c r="DC70" s="125"/>
      <c r="DD70" s="125"/>
      <c r="DE70" s="125"/>
      <c r="DF70" s="125"/>
      <c r="DG70" s="125"/>
      <c r="DH70" s="125"/>
      <c r="DI70" s="125"/>
    </row>
    <row r="71" spans="1:113" ht="12.75">
      <c r="A71" s="128"/>
      <c r="B71" s="125"/>
      <c r="C71" s="125"/>
      <c r="D71" s="125"/>
      <c r="E71" s="125"/>
      <c r="F71" s="125"/>
      <c r="G71" s="125"/>
      <c r="H71" s="125"/>
      <c r="I71" s="125"/>
      <c r="J71" s="125"/>
      <c r="K71" s="125"/>
      <c r="L71" s="125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29"/>
      <c r="AA71" s="129"/>
      <c r="AB71" s="129"/>
      <c r="AC71" s="129"/>
      <c r="AD71" s="129"/>
      <c r="AE71" s="129"/>
      <c r="AF71" s="129"/>
      <c r="AG71" s="129"/>
      <c r="AH71" s="129"/>
      <c r="AI71" s="125"/>
      <c r="AJ71" s="129"/>
      <c r="AK71" s="129"/>
      <c r="AL71" s="129"/>
      <c r="AM71" s="129"/>
      <c r="AN71" s="129"/>
      <c r="AO71" s="129"/>
      <c r="AP71" s="129"/>
      <c r="AQ71" s="129"/>
      <c r="AR71" s="129"/>
      <c r="AS71" s="129"/>
      <c r="AT71" s="129"/>
      <c r="AU71" s="129"/>
      <c r="AV71" s="129"/>
      <c r="AW71" s="129"/>
      <c r="AX71" s="129"/>
      <c r="AY71" s="129"/>
      <c r="AZ71" s="129"/>
      <c r="BA71" s="129"/>
      <c r="BB71" s="129"/>
      <c r="BC71" s="129"/>
      <c r="BD71" s="129"/>
      <c r="BE71" s="129"/>
      <c r="BF71" s="129"/>
      <c r="BG71" s="129"/>
      <c r="BH71" s="125"/>
      <c r="BI71" s="129"/>
      <c r="BJ71" s="125"/>
      <c r="BK71" s="125"/>
      <c r="BL71" s="125"/>
      <c r="BM71" s="125"/>
      <c r="BN71" s="129"/>
      <c r="BO71" s="126"/>
      <c r="BP71" s="125"/>
      <c r="BQ71" s="125"/>
      <c r="BR71" s="125"/>
      <c r="BS71" s="125"/>
      <c r="BT71" s="125"/>
      <c r="BU71" s="125"/>
      <c r="BV71" s="125"/>
      <c r="BW71" s="125"/>
      <c r="BX71" s="125"/>
      <c r="BY71" s="125"/>
      <c r="BZ71" s="125"/>
      <c r="CA71" s="125"/>
      <c r="CB71" s="129"/>
      <c r="CC71" s="129"/>
      <c r="CD71" s="125"/>
      <c r="CE71" s="125"/>
      <c r="CF71" s="125"/>
      <c r="CG71" s="125"/>
      <c r="CH71" s="125"/>
      <c r="CI71" s="125"/>
      <c r="CJ71" s="125"/>
      <c r="CK71" s="125"/>
      <c r="CL71" s="125"/>
      <c r="CM71" s="125"/>
      <c r="CN71" s="125"/>
      <c r="CO71" s="125"/>
      <c r="CP71" s="125"/>
      <c r="CQ71" s="125"/>
      <c r="CR71" s="125"/>
      <c r="CS71" s="125"/>
      <c r="CT71" s="125"/>
      <c r="CU71" s="125"/>
      <c r="CV71" s="125"/>
      <c r="CW71" s="125"/>
      <c r="CX71" s="125"/>
      <c r="CY71" s="125"/>
      <c r="CZ71" s="125"/>
      <c r="DA71" s="125"/>
      <c r="DB71" s="125"/>
      <c r="DC71" s="125"/>
      <c r="DD71" s="125"/>
      <c r="DE71" s="125"/>
      <c r="DF71" s="125"/>
      <c r="DG71" s="125"/>
      <c r="DH71" s="125"/>
      <c r="DI71" s="125"/>
    </row>
    <row r="72" spans="1:113" ht="12.75">
      <c r="A72" s="124"/>
      <c r="B72" s="125"/>
      <c r="C72" s="125"/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5"/>
      <c r="O72" s="125"/>
      <c r="P72" s="125"/>
      <c r="Q72" s="125"/>
      <c r="R72" s="125"/>
      <c r="S72" s="125"/>
      <c r="T72" s="125"/>
      <c r="U72" s="125"/>
      <c r="V72" s="125"/>
      <c r="W72" s="125"/>
      <c r="X72" s="125"/>
      <c r="Y72" s="125"/>
      <c r="Z72" s="125"/>
      <c r="AA72" s="125"/>
      <c r="AB72" s="125"/>
      <c r="AC72" s="125"/>
      <c r="AD72" s="125"/>
      <c r="AE72" s="125"/>
      <c r="AF72" s="125"/>
      <c r="AG72" s="125"/>
      <c r="AH72" s="125"/>
      <c r="AI72" s="125"/>
      <c r="AJ72" s="125"/>
      <c r="AK72" s="125"/>
      <c r="AL72" s="125"/>
      <c r="AM72" s="125"/>
      <c r="AN72" s="125"/>
      <c r="AO72" s="125"/>
      <c r="AP72" s="125"/>
      <c r="AQ72" s="125"/>
      <c r="AR72" s="125"/>
      <c r="AS72" s="125"/>
      <c r="AT72" s="125"/>
      <c r="AU72" s="125"/>
      <c r="AV72" s="125"/>
      <c r="AW72" s="125"/>
      <c r="AX72" s="125"/>
      <c r="AY72" s="125"/>
      <c r="AZ72" s="125"/>
      <c r="BA72" s="125"/>
      <c r="BB72" s="125"/>
      <c r="BC72" s="125"/>
      <c r="BD72" s="125"/>
      <c r="BE72" s="125"/>
      <c r="BF72" s="125"/>
      <c r="BG72" s="125"/>
      <c r="BH72" s="125"/>
      <c r="BI72" s="125"/>
      <c r="BJ72" s="125"/>
      <c r="BK72" s="125"/>
      <c r="BL72" s="125"/>
      <c r="BM72" s="125"/>
      <c r="BN72" s="125"/>
      <c r="BO72" s="125"/>
      <c r="BP72" s="125"/>
      <c r="BQ72" s="125"/>
      <c r="BR72" s="125"/>
      <c r="BS72" s="125"/>
      <c r="BT72" s="125"/>
      <c r="BU72" s="125"/>
      <c r="BV72" s="126"/>
      <c r="BW72" s="125"/>
      <c r="BX72" s="125"/>
      <c r="BY72" s="125"/>
      <c r="BZ72" s="125"/>
      <c r="CA72" s="125"/>
      <c r="CB72" s="129"/>
      <c r="CC72" s="125"/>
      <c r="CD72" s="125"/>
      <c r="CE72" s="125"/>
      <c r="CF72" s="125"/>
      <c r="CG72" s="125"/>
      <c r="CH72" s="125"/>
      <c r="CI72" s="125"/>
      <c r="CJ72" s="125"/>
      <c r="CK72" s="125"/>
      <c r="CL72" s="125"/>
      <c r="CM72" s="125"/>
      <c r="CN72" s="125"/>
      <c r="CO72" s="125"/>
      <c r="CP72" s="125"/>
      <c r="CQ72" s="125"/>
      <c r="CR72" s="125"/>
      <c r="CS72" s="125"/>
      <c r="CT72" s="125"/>
      <c r="CU72" s="125"/>
      <c r="CV72" s="125"/>
      <c r="CW72" s="125"/>
      <c r="CX72" s="125"/>
      <c r="CY72" s="125"/>
      <c r="CZ72" s="125"/>
      <c r="DA72" s="125"/>
      <c r="DB72" s="125"/>
      <c r="DC72" s="125"/>
      <c r="DD72" s="125"/>
      <c r="DE72" s="125"/>
      <c r="DF72" s="125"/>
      <c r="DG72" s="125"/>
      <c r="DH72" s="125"/>
      <c r="DI72" s="125"/>
    </row>
    <row r="73" spans="1:113" ht="12.75">
      <c r="A73" s="124"/>
      <c r="B73" s="125"/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125"/>
      <c r="O73" s="125"/>
      <c r="P73" s="125"/>
      <c r="Q73" s="125"/>
      <c r="R73" s="125"/>
      <c r="S73" s="125"/>
      <c r="T73" s="125"/>
      <c r="U73" s="125"/>
      <c r="V73" s="125"/>
      <c r="W73" s="125"/>
      <c r="X73" s="125"/>
      <c r="Y73" s="125"/>
      <c r="Z73" s="125"/>
      <c r="AA73" s="125"/>
      <c r="AB73" s="125"/>
      <c r="AC73" s="125"/>
      <c r="AD73" s="125"/>
      <c r="AE73" s="125"/>
      <c r="AF73" s="125"/>
      <c r="AG73" s="125"/>
      <c r="AH73" s="125"/>
      <c r="AI73" s="125"/>
      <c r="AJ73" s="125"/>
      <c r="AK73" s="125"/>
      <c r="AL73" s="125"/>
      <c r="AM73" s="125"/>
      <c r="AN73" s="125"/>
      <c r="AO73" s="125"/>
      <c r="AP73" s="125"/>
      <c r="AQ73" s="125"/>
      <c r="AR73" s="125"/>
      <c r="AS73" s="125"/>
      <c r="AT73" s="125"/>
      <c r="AU73" s="125"/>
      <c r="AV73" s="125"/>
      <c r="AW73" s="125"/>
      <c r="AX73" s="125"/>
      <c r="AY73" s="125"/>
      <c r="AZ73" s="125"/>
      <c r="BA73" s="125"/>
      <c r="BB73" s="125"/>
      <c r="BC73" s="125"/>
      <c r="BD73" s="125"/>
      <c r="BE73" s="125"/>
      <c r="BF73" s="125"/>
      <c r="BG73" s="125"/>
      <c r="BH73" s="125"/>
      <c r="BI73" s="125"/>
      <c r="BJ73" s="125"/>
      <c r="BK73" s="125"/>
      <c r="BL73" s="125"/>
      <c r="BM73" s="125"/>
      <c r="BN73" s="125"/>
      <c r="BO73" s="125"/>
      <c r="BP73" s="125"/>
      <c r="BQ73" s="125"/>
      <c r="BR73" s="125"/>
      <c r="BS73" s="125"/>
      <c r="BT73" s="125"/>
      <c r="BU73" s="125"/>
      <c r="BV73" s="126"/>
      <c r="BW73" s="125"/>
      <c r="BX73" s="125"/>
      <c r="BY73" s="125"/>
      <c r="BZ73" s="125"/>
      <c r="CA73" s="125"/>
      <c r="CB73" s="129"/>
      <c r="CC73" s="125"/>
      <c r="CD73" s="125"/>
      <c r="CE73" s="125"/>
      <c r="CF73" s="125"/>
      <c r="CG73" s="125"/>
      <c r="CH73" s="125"/>
      <c r="CI73" s="125"/>
      <c r="CJ73" s="125"/>
      <c r="CK73" s="125"/>
      <c r="CL73" s="125"/>
      <c r="CM73" s="125"/>
      <c r="CN73" s="125"/>
      <c r="CO73" s="125"/>
      <c r="CP73" s="125"/>
      <c r="CQ73" s="125"/>
      <c r="CR73" s="125"/>
      <c r="CS73" s="125"/>
      <c r="CT73" s="125"/>
      <c r="CU73" s="125"/>
      <c r="CV73" s="125"/>
      <c r="CW73" s="125"/>
      <c r="CX73" s="125"/>
      <c r="CY73" s="125"/>
      <c r="CZ73" s="125"/>
      <c r="DA73" s="125"/>
      <c r="DB73" s="125"/>
      <c r="DC73" s="125"/>
      <c r="DD73" s="125"/>
      <c r="DE73" s="125"/>
      <c r="DF73" s="125"/>
      <c r="DG73" s="125"/>
      <c r="DH73" s="125"/>
      <c r="DI73" s="125"/>
    </row>
    <row r="74" spans="1:113" ht="12.75">
      <c r="A74" s="124"/>
      <c r="B74" s="125"/>
      <c r="C74" s="125"/>
      <c r="D74" s="125"/>
      <c r="E74" s="125"/>
      <c r="F74" s="125"/>
      <c r="G74" s="125"/>
      <c r="H74" s="125"/>
      <c r="I74" s="125"/>
      <c r="J74" s="125"/>
      <c r="K74" s="125"/>
      <c r="L74" s="125"/>
      <c r="M74" s="125"/>
      <c r="N74" s="125"/>
      <c r="O74" s="125"/>
      <c r="P74" s="125"/>
      <c r="Q74" s="125"/>
      <c r="R74" s="125"/>
      <c r="S74" s="125"/>
      <c r="T74" s="125"/>
      <c r="U74" s="125"/>
      <c r="V74" s="125"/>
      <c r="W74" s="125"/>
      <c r="X74" s="125"/>
      <c r="Y74" s="125"/>
      <c r="Z74" s="125"/>
      <c r="AA74" s="125"/>
      <c r="AB74" s="125"/>
      <c r="AC74" s="125"/>
      <c r="AD74" s="125"/>
      <c r="AE74" s="125"/>
      <c r="AF74" s="125"/>
      <c r="AG74" s="125"/>
      <c r="AH74" s="125"/>
      <c r="AI74" s="125"/>
      <c r="AJ74" s="125"/>
      <c r="AK74" s="125"/>
      <c r="AL74" s="125"/>
      <c r="AM74" s="125"/>
      <c r="AN74" s="125"/>
      <c r="AO74" s="125"/>
      <c r="AP74" s="125"/>
      <c r="AQ74" s="125"/>
      <c r="AR74" s="125"/>
      <c r="AS74" s="125"/>
      <c r="AT74" s="125"/>
      <c r="AU74" s="125"/>
      <c r="AV74" s="125"/>
      <c r="AW74" s="125"/>
      <c r="AX74" s="125"/>
      <c r="AY74" s="125"/>
      <c r="AZ74" s="125"/>
      <c r="BA74" s="125"/>
      <c r="BB74" s="125"/>
      <c r="BC74" s="125"/>
      <c r="BD74" s="125"/>
      <c r="BE74" s="125"/>
      <c r="BF74" s="125"/>
      <c r="BG74" s="125"/>
      <c r="BH74" s="125"/>
      <c r="BI74" s="125"/>
      <c r="BJ74" s="125"/>
      <c r="BK74" s="125"/>
      <c r="BL74" s="125"/>
      <c r="BM74" s="125"/>
      <c r="BN74" s="125"/>
      <c r="BO74" s="125"/>
      <c r="BP74" s="125"/>
      <c r="BQ74" s="125"/>
      <c r="BR74" s="125"/>
      <c r="BS74" s="125"/>
      <c r="BT74" s="125"/>
      <c r="BU74" s="125"/>
      <c r="BV74" s="125"/>
      <c r="BW74" s="125"/>
      <c r="BX74" s="125"/>
      <c r="BY74" s="125"/>
      <c r="BZ74" s="125"/>
      <c r="CA74" s="125"/>
      <c r="CB74" s="129"/>
      <c r="CC74" s="129"/>
      <c r="CD74" s="125"/>
      <c r="CE74" s="125"/>
      <c r="CF74" s="125"/>
      <c r="CG74" s="125"/>
      <c r="CH74" s="125"/>
      <c r="CI74" s="125"/>
      <c r="CJ74" s="125"/>
      <c r="CK74" s="125"/>
      <c r="CL74" s="125"/>
      <c r="CM74" s="125"/>
      <c r="CN74" s="125"/>
      <c r="CO74" s="125"/>
      <c r="CP74" s="125"/>
      <c r="CQ74" s="125"/>
      <c r="CR74" s="125"/>
      <c r="CS74" s="125"/>
      <c r="CT74" s="125"/>
      <c r="CU74" s="125"/>
      <c r="CV74" s="125"/>
      <c r="CW74" s="125"/>
      <c r="CX74" s="125"/>
      <c r="CY74" s="125"/>
      <c r="CZ74" s="125"/>
      <c r="DA74" s="125"/>
      <c r="DB74" s="125"/>
      <c r="DC74" s="125"/>
      <c r="DD74" s="125"/>
      <c r="DE74" s="125"/>
      <c r="DF74" s="125"/>
      <c r="DG74" s="125"/>
      <c r="DH74" s="125"/>
      <c r="DI74" s="125"/>
    </row>
    <row r="75" spans="1:113" ht="12.75">
      <c r="A75" s="124"/>
      <c r="B75" s="125"/>
      <c r="C75" s="125"/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P75" s="125"/>
      <c r="Q75" s="125"/>
      <c r="R75" s="125"/>
      <c r="S75" s="125"/>
      <c r="T75" s="125"/>
      <c r="U75" s="125"/>
      <c r="V75" s="125"/>
      <c r="W75" s="125"/>
      <c r="X75" s="125"/>
      <c r="Y75" s="125"/>
      <c r="Z75" s="125"/>
      <c r="AA75" s="125"/>
      <c r="AB75" s="125"/>
      <c r="AC75" s="125"/>
      <c r="AD75" s="125"/>
      <c r="AE75" s="125"/>
      <c r="AF75" s="125"/>
      <c r="AG75" s="125"/>
      <c r="AH75" s="125"/>
      <c r="AI75" s="125"/>
      <c r="AJ75" s="125"/>
      <c r="AK75" s="125"/>
      <c r="AL75" s="125"/>
      <c r="AM75" s="125"/>
      <c r="AN75" s="125"/>
      <c r="AO75" s="125"/>
      <c r="AP75" s="125"/>
      <c r="AQ75" s="125"/>
      <c r="AR75" s="125"/>
      <c r="AS75" s="125"/>
      <c r="AT75" s="125"/>
      <c r="AU75" s="125"/>
      <c r="AV75" s="125"/>
      <c r="AW75" s="125"/>
      <c r="AX75" s="125"/>
      <c r="AY75" s="125"/>
      <c r="AZ75" s="125"/>
      <c r="BA75" s="125"/>
      <c r="BB75" s="125"/>
      <c r="BC75" s="125"/>
      <c r="BD75" s="125"/>
      <c r="BE75" s="125"/>
      <c r="BF75" s="125"/>
      <c r="BG75" s="125"/>
      <c r="BH75" s="125"/>
      <c r="BI75" s="125"/>
      <c r="BJ75" s="125"/>
      <c r="BK75" s="125"/>
      <c r="BL75" s="125"/>
      <c r="BM75" s="125"/>
      <c r="BN75" s="125"/>
      <c r="BO75" s="125"/>
      <c r="BP75" s="125"/>
      <c r="BQ75" s="125"/>
      <c r="BR75" s="125"/>
      <c r="BS75" s="125"/>
      <c r="BT75" s="125"/>
      <c r="BU75" s="125"/>
      <c r="BV75" s="126"/>
      <c r="BW75" s="125"/>
      <c r="BX75" s="125"/>
      <c r="BY75" s="125"/>
      <c r="BZ75" s="125"/>
      <c r="CA75" s="125"/>
      <c r="CB75" s="129"/>
      <c r="CC75" s="125"/>
      <c r="CD75" s="125"/>
      <c r="CE75" s="125"/>
      <c r="CF75" s="125"/>
      <c r="CG75" s="125"/>
      <c r="CH75" s="125"/>
      <c r="CI75" s="125"/>
      <c r="CJ75" s="125"/>
      <c r="CK75" s="125"/>
      <c r="CL75" s="125"/>
      <c r="CM75" s="125"/>
      <c r="CN75" s="125"/>
      <c r="CO75" s="125"/>
      <c r="CP75" s="125"/>
      <c r="CQ75" s="125"/>
      <c r="CR75" s="125"/>
      <c r="CS75" s="125"/>
      <c r="CT75" s="125"/>
      <c r="CU75" s="125"/>
      <c r="CV75" s="125"/>
      <c r="CW75" s="125"/>
      <c r="CX75" s="125"/>
      <c r="CY75" s="125"/>
      <c r="CZ75" s="125"/>
      <c r="DA75" s="125"/>
      <c r="DB75" s="125"/>
      <c r="DC75" s="125"/>
      <c r="DD75" s="125"/>
      <c r="DE75" s="125"/>
      <c r="DF75" s="125"/>
      <c r="DG75" s="125"/>
      <c r="DH75" s="125"/>
      <c r="DI75" s="125"/>
    </row>
    <row r="76" spans="1:113" ht="12.75">
      <c r="A76" s="124"/>
      <c r="B76" s="125"/>
      <c r="C76" s="125"/>
      <c r="D76" s="125"/>
      <c r="E76" s="125"/>
      <c r="F76" s="125"/>
      <c r="G76" s="125"/>
      <c r="H76" s="125"/>
      <c r="I76" s="125"/>
      <c r="J76" s="125"/>
      <c r="K76" s="125"/>
      <c r="L76" s="125"/>
      <c r="M76" s="125"/>
      <c r="N76" s="125"/>
      <c r="O76" s="125"/>
      <c r="P76" s="125"/>
      <c r="Q76" s="125"/>
      <c r="R76" s="125"/>
      <c r="S76" s="125"/>
      <c r="T76" s="125"/>
      <c r="U76" s="125"/>
      <c r="V76" s="125"/>
      <c r="W76" s="125"/>
      <c r="X76" s="125"/>
      <c r="Y76" s="125"/>
      <c r="Z76" s="125"/>
      <c r="AA76" s="125"/>
      <c r="AB76" s="125"/>
      <c r="AC76" s="125"/>
      <c r="AD76" s="125"/>
      <c r="AE76" s="125"/>
      <c r="AF76" s="125"/>
      <c r="AG76" s="125"/>
      <c r="AH76" s="125"/>
      <c r="AI76" s="125"/>
      <c r="AJ76" s="125"/>
      <c r="AK76" s="125"/>
      <c r="AL76" s="125"/>
      <c r="AM76" s="125"/>
      <c r="AN76" s="125"/>
      <c r="AO76" s="125"/>
      <c r="AP76" s="125"/>
      <c r="AQ76" s="125"/>
      <c r="AR76" s="125"/>
      <c r="AS76" s="125"/>
      <c r="AT76" s="125"/>
      <c r="AU76" s="125"/>
      <c r="AV76" s="125"/>
      <c r="AW76" s="125"/>
      <c r="AX76" s="125"/>
      <c r="AY76" s="125"/>
      <c r="AZ76" s="125"/>
      <c r="BA76" s="125"/>
      <c r="BB76" s="125"/>
      <c r="BC76" s="125"/>
      <c r="BD76" s="125"/>
      <c r="BE76" s="125"/>
      <c r="BF76" s="125"/>
      <c r="BG76" s="125"/>
      <c r="BH76" s="125"/>
      <c r="BI76" s="125"/>
      <c r="BJ76" s="125"/>
      <c r="BK76" s="125"/>
      <c r="BL76" s="125"/>
      <c r="BM76" s="125"/>
      <c r="BN76" s="125"/>
      <c r="BO76" s="125"/>
      <c r="BP76" s="125"/>
      <c r="BQ76" s="125"/>
      <c r="BR76" s="125"/>
      <c r="BS76" s="125"/>
      <c r="BT76" s="125"/>
      <c r="BU76" s="125"/>
      <c r="BV76" s="125"/>
      <c r="BW76" s="125"/>
      <c r="BX76" s="125"/>
      <c r="BY76" s="125"/>
      <c r="BZ76" s="125"/>
      <c r="CA76" s="125"/>
      <c r="CB76" s="129"/>
      <c r="CC76" s="129"/>
      <c r="CD76" s="125"/>
      <c r="CE76" s="125"/>
      <c r="CF76" s="125"/>
      <c r="CG76" s="125"/>
      <c r="CH76" s="125"/>
      <c r="CI76" s="125"/>
      <c r="CJ76" s="125"/>
      <c r="CK76" s="125"/>
      <c r="CL76" s="125"/>
      <c r="CM76" s="125"/>
      <c r="CN76" s="125"/>
      <c r="CO76" s="125"/>
      <c r="CP76" s="125"/>
      <c r="CQ76" s="125"/>
      <c r="CR76" s="125"/>
      <c r="CS76" s="125"/>
      <c r="CT76" s="125"/>
      <c r="CU76" s="125"/>
      <c r="CV76" s="125"/>
      <c r="CW76" s="125"/>
      <c r="CX76" s="125"/>
      <c r="CY76" s="125"/>
      <c r="CZ76" s="125"/>
      <c r="DA76" s="125"/>
      <c r="DB76" s="125"/>
      <c r="DC76" s="125"/>
      <c r="DD76" s="125"/>
      <c r="DE76" s="125"/>
      <c r="DF76" s="125"/>
      <c r="DG76" s="125"/>
      <c r="DH76" s="125"/>
      <c r="DI76" s="125"/>
    </row>
    <row r="77" spans="1:113" ht="12.75">
      <c r="A77" s="124"/>
      <c r="B77" s="125"/>
      <c r="C77" s="125"/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5"/>
      <c r="P77" s="125"/>
      <c r="Q77" s="125"/>
      <c r="R77" s="125"/>
      <c r="S77" s="125"/>
      <c r="T77" s="125"/>
      <c r="U77" s="125"/>
      <c r="V77" s="125"/>
      <c r="W77" s="125"/>
      <c r="X77" s="125"/>
      <c r="Y77" s="125"/>
      <c r="Z77" s="125"/>
      <c r="AA77" s="125"/>
      <c r="AB77" s="125"/>
      <c r="AC77" s="125"/>
      <c r="AD77" s="125"/>
      <c r="AE77" s="125"/>
      <c r="AF77" s="125"/>
      <c r="AG77" s="125"/>
      <c r="AH77" s="125"/>
      <c r="AI77" s="125"/>
      <c r="AJ77" s="125"/>
      <c r="AK77" s="125"/>
      <c r="AL77" s="125"/>
      <c r="AM77" s="125"/>
      <c r="AN77" s="125"/>
      <c r="AO77" s="125"/>
      <c r="AP77" s="125"/>
      <c r="AQ77" s="125"/>
      <c r="AR77" s="125"/>
      <c r="AS77" s="125"/>
      <c r="AT77" s="125"/>
      <c r="AU77" s="125"/>
      <c r="AV77" s="125"/>
      <c r="AW77" s="125"/>
      <c r="AX77" s="125"/>
      <c r="AY77" s="125"/>
      <c r="AZ77" s="125"/>
      <c r="BA77" s="125"/>
      <c r="BB77" s="125"/>
      <c r="BC77" s="125"/>
      <c r="BD77" s="125"/>
      <c r="BE77" s="125"/>
      <c r="BF77" s="125"/>
      <c r="BG77" s="125"/>
      <c r="BH77" s="125"/>
      <c r="BI77" s="125"/>
      <c r="BJ77" s="125"/>
      <c r="BK77" s="125"/>
      <c r="BL77" s="125"/>
      <c r="BM77" s="125"/>
      <c r="BN77" s="125"/>
      <c r="BO77" s="125"/>
      <c r="BP77" s="125"/>
      <c r="BQ77" s="125"/>
      <c r="BR77" s="125"/>
      <c r="BS77" s="125"/>
      <c r="BT77" s="125"/>
      <c r="BU77" s="125"/>
      <c r="BV77" s="125"/>
      <c r="BW77" s="125"/>
      <c r="BX77" s="125"/>
      <c r="BY77" s="125"/>
      <c r="BZ77" s="125"/>
      <c r="CA77" s="125"/>
      <c r="CB77" s="125"/>
      <c r="CC77" s="125"/>
      <c r="CD77" s="125"/>
      <c r="CE77" s="125"/>
      <c r="CF77" s="125"/>
      <c r="CG77" s="125"/>
      <c r="CH77" s="125"/>
      <c r="CI77" s="125"/>
      <c r="CJ77" s="125"/>
      <c r="CK77" s="125"/>
      <c r="CL77" s="125"/>
      <c r="CM77" s="125"/>
      <c r="CN77" s="125"/>
      <c r="CO77" s="125"/>
      <c r="CP77" s="125"/>
      <c r="CQ77" s="125"/>
      <c r="CR77" s="125"/>
      <c r="CS77" s="125"/>
      <c r="CT77" s="125"/>
      <c r="CU77" s="125"/>
      <c r="CV77" s="125"/>
      <c r="CW77" s="125"/>
      <c r="CX77" s="125"/>
      <c r="CY77" s="125"/>
      <c r="CZ77" s="125"/>
      <c r="DA77" s="125"/>
      <c r="DB77" s="125"/>
      <c r="DC77" s="125"/>
      <c r="DD77" s="125"/>
      <c r="DE77" s="125"/>
      <c r="DF77" s="125"/>
      <c r="DG77" s="125"/>
      <c r="DH77" s="125"/>
      <c r="DI77" s="125"/>
    </row>
    <row r="78" spans="1:113" ht="12.75">
      <c r="A78" s="124"/>
      <c r="B78" s="125"/>
      <c r="C78" s="125"/>
      <c r="D78" s="125"/>
      <c r="E78" s="125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5"/>
      <c r="AE78" s="125"/>
      <c r="AF78" s="125"/>
      <c r="AG78" s="125"/>
      <c r="AH78" s="125"/>
      <c r="AI78" s="125"/>
      <c r="AJ78" s="125"/>
      <c r="AK78" s="125"/>
      <c r="AL78" s="125"/>
      <c r="AM78" s="125"/>
      <c r="AN78" s="125"/>
      <c r="AO78" s="125"/>
      <c r="AP78" s="125"/>
      <c r="AQ78" s="125"/>
      <c r="AR78" s="125"/>
      <c r="AS78" s="125"/>
      <c r="AT78" s="125"/>
      <c r="AU78" s="125"/>
      <c r="AV78" s="125"/>
      <c r="AW78" s="125"/>
      <c r="AX78" s="125"/>
      <c r="AY78" s="125"/>
      <c r="AZ78" s="125"/>
      <c r="BA78" s="125"/>
      <c r="BB78" s="125"/>
      <c r="BC78" s="125"/>
      <c r="BD78" s="125"/>
      <c r="BE78" s="125"/>
      <c r="BF78" s="125"/>
      <c r="BG78" s="125"/>
      <c r="BH78" s="125"/>
      <c r="BI78" s="125"/>
      <c r="BJ78" s="125"/>
      <c r="BK78" s="125"/>
      <c r="BL78" s="125"/>
      <c r="BM78" s="125"/>
      <c r="BN78" s="125"/>
      <c r="BO78" s="125"/>
      <c r="BP78" s="125"/>
      <c r="BQ78" s="125"/>
      <c r="BR78" s="125"/>
      <c r="BS78" s="125"/>
      <c r="BT78" s="125"/>
      <c r="BU78" s="125"/>
      <c r="BV78" s="125"/>
      <c r="BW78" s="125"/>
      <c r="BX78" s="125"/>
      <c r="BY78" s="125"/>
      <c r="BZ78" s="125"/>
      <c r="CA78" s="125"/>
      <c r="CB78" s="129"/>
      <c r="CC78" s="125"/>
      <c r="CD78" s="125"/>
      <c r="CE78" s="125"/>
      <c r="CF78" s="125"/>
      <c r="CG78" s="125"/>
      <c r="CH78" s="125"/>
      <c r="CI78" s="125"/>
      <c r="CJ78" s="125"/>
      <c r="CK78" s="125"/>
      <c r="CL78" s="125"/>
      <c r="CM78" s="125"/>
      <c r="CN78" s="125"/>
      <c r="CO78" s="125"/>
      <c r="CP78" s="125"/>
      <c r="CQ78" s="125"/>
      <c r="CR78" s="125"/>
      <c r="CS78" s="125"/>
      <c r="CT78" s="125"/>
      <c r="CU78" s="125"/>
      <c r="CV78" s="125"/>
      <c r="CW78" s="125"/>
      <c r="CX78" s="125"/>
      <c r="CY78" s="125"/>
      <c r="CZ78" s="125"/>
      <c r="DA78" s="125"/>
      <c r="DB78" s="125"/>
      <c r="DC78" s="125"/>
      <c r="DD78" s="125"/>
      <c r="DE78" s="125"/>
      <c r="DF78" s="125"/>
      <c r="DG78" s="125"/>
      <c r="DH78" s="125"/>
      <c r="DI78" s="125"/>
    </row>
    <row r="79" spans="1:113" ht="12.75">
      <c r="A79" s="124"/>
      <c r="B79" s="125"/>
      <c r="C79" s="125"/>
      <c r="D79" s="125"/>
      <c r="E79" s="125"/>
      <c r="F79" s="125"/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  <c r="R79" s="125"/>
      <c r="S79" s="125"/>
      <c r="T79" s="125"/>
      <c r="U79" s="125"/>
      <c r="V79" s="125"/>
      <c r="W79" s="125"/>
      <c r="X79" s="125"/>
      <c r="Y79" s="125"/>
      <c r="Z79" s="125"/>
      <c r="AA79" s="125"/>
      <c r="AB79" s="125"/>
      <c r="AC79" s="125"/>
      <c r="AD79" s="125"/>
      <c r="AE79" s="125"/>
      <c r="AF79" s="125"/>
      <c r="AG79" s="125"/>
      <c r="AH79" s="125"/>
      <c r="AI79" s="125"/>
      <c r="AJ79" s="125"/>
      <c r="AK79" s="125"/>
      <c r="AL79" s="125"/>
      <c r="AM79" s="125"/>
      <c r="AN79" s="125"/>
      <c r="AO79" s="125"/>
      <c r="AP79" s="125"/>
      <c r="AQ79" s="125"/>
      <c r="AR79" s="125"/>
      <c r="AS79" s="125"/>
      <c r="AT79" s="125"/>
      <c r="AU79" s="125"/>
      <c r="AV79" s="125"/>
      <c r="AW79" s="125"/>
      <c r="AX79" s="125"/>
      <c r="AY79" s="125"/>
      <c r="AZ79" s="125"/>
      <c r="BA79" s="125"/>
      <c r="BB79" s="125"/>
      <c r="BC79" s="125"/>
      <c r="BD79" s="125"/>
      <c r="BE79" s="125"/>
      <c r="BF79" s="125"/>
      <c r="BG79" s="125"/>
      <c r="BH79" s="125"/>
      <c r="BI79" s="125"/>
      <c r="BJ79" s="125"/>
      <c r="BK79" s="125"/>
      <c r="BL79" s="125"/>
      <c r="BM79" s="125"/>
      <c r="BN79" s="125"/>
      <c r="BO79" s="125"/>
      <c r="BP79" s="125"/>
      <c r="BQ79" s="125"/>
      <c r="BR79" s="125"/>
      <c r="BS79" s="125"/>
      <c r="BT79" s="125"/>
      <c r="BU79" s="125"/>
      <c r="BV79" s="126"/>
      <c r="BW79" s="125"/>
      <c r="BX79" s="125"/>
      <c r="BY79" s="125"/>
      <c r="BZ79" s="125"/>
      <c r="CA79" s="125"/>
      <c r="CB79" s="129"/>
      <c r="CC79" s="125"/>
      <c r="CD79" s="125"/>
      <c r="CE79" s="125"/>
      <c r="CF79" s="125"/>
      <c r="CG79" s="125"/>
      <c r="CH79" s="125"/>
      <c r="CI79" s="125"/>
      <c r="CJ79" s="125"/>
      <c r="CK79" s="125"/>
      <c r="CL79" s="125"/>
      <c r="CM79" s="125"/>
      <c r="CN79" s="125"/>
      <c r="CO79" s="125"/>
      <c r="CP79" s="125"/>
      <c r="CQ79" s="125"/>
      <c r="CR79" s="125"/>
      <c r="CS79" s="125"/>
      <c r="CT79" s="125"/>
      <c r="CU79" s="125"/>
      <c r="CV79" s="125"/>
      <c r="CW79" s="125"/>
      <c r="CX79" s="125"/>
      <c r="CY79" s="125"/>
      <c r="CZ79" s="125"/>
      <c r="DA79" s="125"/>
      <c r="DB79" s="125"/>
      <c r="DC79" s="125"/>
      <c r="DD79" s="125"/>
      <c r="DE79" s="125"/>
      <c r="DF79" s="125"/>
      <c r="DG79" s="125"/>
      <c r="DH79" s="125"/>
      <c r="DI79" s="125"/>
    </row>
    <row r="80" spans="1:113" ht="12.75">
      <c r="A80" s="124"/>
      <c r="B80" s="125"/>
      <c r="C80" s="125"/>
      <c r="D80" s="125"/>
      <c r="E80" s="125"/>
      <c r="F80" s="125"/>
      <c r="G80" s="125"/>
      <c r="H80" s="125"/>
      <c r="I80" s="125"/>
      <c r="J80" s="125"/>
      <c r="K80" s="125"/>
      <c r="L80" s="125"/>
      <c r="M80" s="125"/>
      <c r="N80" s="125"/>
      <c r="O80" s="125"/>
      <c r="P80" s="125"/>
      <c r="Q80" s="125"/>
      <c r="R80" s="125"/>
      <c r="S80" s="125"/>
      <c r="T80" s="125"/>
      <c r="U80" s="125"/>
      <c r="V80" s="125"/>
      <c r="W80" s="125"/>
      <c r="X80" s="125"/>
      <c r="Y80" s="125"/>
      <c r="Z80" s="125"/>
      <c r="AA80" s="125"/>
      <c r="AB80" s="125"/>
      <c r="AC80" s="125"/>
      <c r="AD80" s="125"/>
      <c r="AE80" s="125"/>
      <c r="AF80" s="125"/>
      <c r="AG80" s="125"/>
      <c r="AH80" s="125"/>
      <c r="AI80" s="125"/>
      <c r="AJ80" s="125"/>
      <c r="AK80" s="125"/>
      <c r="AL80" s="125"/>
      <c r="AM80" s="125"/>
      <c r="AN80" s="125"/>
      <c r="AO80" s="125"/>
      <c r="AP80" s="125"/>
      <c r="AQ80" s="125"/>
      <c r="AR80" s="125"/>
      <c r="AS80" s="125"/>
      <c r="AT80" s="125"/>
      <c r="AU80" s="125"/>
      <c r="AV80" s="125"/>
      <c r="AW80" s="125"/>
      <c r="AX80" s="125"/>
      <c r="AY80" s="125"/>
      <c r="AZ80" s="125"/>
      <c r="BA80" s="125"/>
      <c r="BB80" s="125"/>
      <c r="BC80" s="125"/>
      <c r="BD80" s="125"/>
      <c r="BE80" s="125"/>
      <c r="BF80" s="125"/>
      <c r="BG80" s="125"/>
      <c r="BH80" s="125"/>
      <c r="BI80" s="125"/>
      <c r="BJ80" s="125"/>
      <c r="BK80" s="125"/>
      <c r="BL80" s="125"/>
      <c r="BM80" s="125"/>
      <c r="BN80" s="125"/>
      <c r="BO80" s="125"/>
      <c r="BP80" s="125"/>
      <c r="BQ80" s="125"/>
      <c r="BR80" s="125"/>
      <c r="BS80" s="125"/>
      <c r="BT80" s="125"/>
      <c r="BU80" s="125"/>
      <c r="BV80" s="126"/>
      <c r="BW80" s="125"/>
      <c r="BX80" s="125"/>
      <c r="BY80" s="125"/>
      <c r="BZ80" s="125"/>
      <c r="CA80" s="125"/>
      <c r="CB80" s="129"/>
      <c r="CC80" s="125"/>
      <c r="CD80" s="125"/>
      <c r="CE80" s="125"/>
      <c r="CF80" s="125"/>
      <c r="CG80" s="125"/>
      <c r="CH80" s="125"/>
      <c r="CI80" s="125"/>
      <c r="CJ80" s="125"/>
      <c r="CK80" s="125"/>
      <c r="CL80" s="125"/>
      <c r="CM80" s="125"/>
      <c r="CN80" s="125"/>
      <c r="CO80" s="125"/>
      <c r="CP80" s="125"/>
      <c r="CQ80" s="125"/>
      <c r="CR80" s="125"/>
      <c r="CS80" s="125"/>
      <c r="CT80" s="125"/>
      <c r="CU80" s="125"/>
      <c r="CV80" s="125"/>
      <c r="CW80" s="125"/>
      <c r="CX80" s="125"/>
      <c r="CY80" s="125"/>
      <c r="CZ80" s="125"/>
      <c r="DA80" s="125"/>
      <c r="DB80" s="125"/>
      <c r="DC80" s="125"/>
      <c r="DD80" s="125"/>
      <c r="DE80" s="125"/>
      <c r="DF80" s="125"/>
      <c r="DG80" s="125"/>
      <c r="DH80" s="125"/>
      <c r="DI80" s="125"/>
    </row>
    <row r="81" spans="1:113" ht="12.75">
      <c r="A81" s="124"/>
      <c r="B81" s="125"/>
      <c r="C81" s="125"/>
      <c r="D81" s="125"/>
      <c r="E81" s="125"/>
      <c r="F81" s="125"/>
      <c r="G81" s="125"/>
      <c r="H81" s="125"/>
      <c r="I81" s="125"/>
      <c r="J81" s="125"/>
      <c r="K81" s="125"/>
      <c r="L81" s="125"/>
      <c r="M81" s="125"/>
      <c r="N81" s="125"/>
      <c r="O81" s="125"/>
      <c r="P81" s="125"/>
      <c r="Q81" s="125"/>
      <c r="R81" s="125"/>
      <c r="S81" s="125"/>
      <c r="T81" s="125"/>
      <c r="U81" s="125"/>
      <c r="V81" s="125"/>
      <c r="W81" s="125"/>
      <c r="X81" s="125"/>
      <c r="Y81" s="125"/>
      <c r="Z81" s="125"/>
      <c r="AA81" s="125"/>
      <c r="AB81" s="125"/>
      <c r="AC81" s="125"/>
      <c r="AD81" s="125"/>
      <c r="AE81" s="125"/>
      <c r="AF81" s="125"/>
      <c r="AG81" s="125"/>
      <c r="AH81" s="125"/>
      <c r="AI81" s="125"/>
      <c r="AJ81" s="125"/>
      <c r="AK81" s="125"/>
      <c r="AL81" s="125"/>
      <c r="AM81" s="125"/>
      <c r="AN81" s="125"/>
      <c r="AO81" s="125"/>
      <c r="AP81" s="125"/>
      <c r="AQ81" s="125"/>
      <c r="AR81" s="125"/>
      <c r="AS81" s="125"/>
      <c r="AT81" s="125"/>
      <c r="AU81" s="125"/>
      <c r="AV81" s="125"/>
      <c r="AW81" s="125"/>
      <c r="AX81" s="125"/>
      <c r="AY81" s="125"/>
      <c r="AZ81" s="125"/>
      <c r="BA81" s="125"/>
      <c r="BB81" s="125"/>
      <c r="BC81" s="125"/>
      <c r="BD81" s="125"/>
      <c r="BE81" s="125"/>
      <c r="BF81" s="125"/>
      <c r="BG81" s="125"/>
      <c r="BH81" s="125"/>
      <c r="BI81" s="125"/>
      <c r="BJ81" s="125"/>
      <c r="BK81" s="125"/>
      <c r="BL81" s="125"/>
      <c r="BM81" s="125"/>
      <c r="BN81" s="125"/>
      <c r="BO81" s="125"/>
      <c r="BP81" s="125"/>
      <c r="BQ81" s="125"/>
      <c r="BR81" s="125"/>
      <c r="BS81" s="125"/>
      <c r="BT81" s="125"/>
      <c r="BU81" s="125"/>
      <c r="BV81" s="125"/>
      <c r="BW81" s="125"/>
      <c r="BX81" s="125"/>
      <c r="BY81" s="125"/>
      <c r="BZ81" s="125"/>
      <c r="CA81" s="125"/>
      <c r="CB81" s="125"/>
      <c r="CC81" s="125"/>
      <c r="CD81" s="125"/>
      <c r="CE81" s="125"/>
      <c r="CF81" s="125"/>
      <c r="CG81" s="125"/>
      <c r="CH81" s="125"/>
      <c r="CI81" s="125"/>
      <c r="CJ81" s="125"/>
      <c r="CK81" s="125"/>
      <c r="CL81" s="125"/>
      <c r="CM81" s="125"/>
      <c r="CN81" s="125"/>
      <c r="CO81" s="125"/>
      <c r="CP81" s="125"/>
      <c r="CQ81" s="125"/>
      <c r="CR81" s="125"/>
      <c r="CS81" s="125"/>
      <c r="CT81" s="125"/>
      <c r="CU81" s="125"/>
      <c r="CV81" s="125"/>
      <c r="CW81" s="125"/>
      <c r="CX81" s="125"/>
      <c r="CY81" s="125"/>
      <c r="CZ81" s="125"/>
      <c r="DA81" s="125"/>
      <c r="DB81" s="125"/>
      <c r="DC81" s="125"/>
      <c r="DD81" s="125"/>
      <c r="DE81" s="125"/>
      <c r="DF81" s="125"/>
      <c r="DG81" s="125"/>
      <c r="DH81" s="125"/>
      <c r="DI81" s="125"/>
    </row>
    <row r="82" spans="1:113" ht="12.75">
      <c r="A82" s="124"/>
      <c r="B82" s="125"/>
      <c r="C82" s="125"/>
      <c r="D82" s="125"/>
      <c r="E82" s="125"/>
      <c r="F82" s="125"/>
      <c r="G82" s="125"/>
      <c r="H82" s="125"/>
      <c r="I82" s="125"/>
      <c r="J82" s="125"/>
      <c r="K82" s="125"/>
      <c r="L82" s="125"/>
      <c r="M82" s="125"/>
      <c r="N82" s="125"/>
      <c r="O82" s="125"/>
      <c r="P82" s="125"/>
      <c r="Q82" s="125"/>
      <c r="R82" s="125"/>
      <c r="S82" s="125"/>
      <c r="T82" s="125"/>
      <c r="U82" s="125"/>
      <c r="V82" s="125"/>
      <c r="W82" s="125"/>
      <c r="X82" s="125"/>
      <c r="Y82" s="125"/>
      <c r="Z82" s="125"/>
      <c r="AA82" s="125"/>
      <c r="AB82" s="125"/>
      <c r="AC82" s="125"/>
      <c r="AD82" s="125"/>
      <c r="AE82" s="125"/>
      <c r="AF82" s="125"/>
      <c r="AG82" s="125"/>
      <c r="AH82" s="125"/>
      <c r="AI82" s="125"/>
      <c r="AJ82" s="125"/>
      <c r="AK82" s="125"/>
      <c r="AL82" s="125"/>
      <c r="AM82" s="125"/>
      <c r="AN82" s="125"/>
      <c r="AO82" s="125"/>
      <c r="AP82" s="125"/>
      <c r="AQ82" s="125"/>
      <c r="AR82" s="125"/>
      <c r="AS82" s="125"/>
      <c r="AT82" s="125"/>
      <c r="AU82" s="125"/>
      <c r="AV82" s="125"/>
      <c r="AW82" s="125"/>
      <c r="AX82" s="125"/>
      <c r="AY82" s="125"/>
      <c r="AZ82" s="125"/>
      <c r="BA82" s="125"/>
      <c r="BB82" s="125"/>
      <c r="BC82" s="125"/>
      <c r="BD82" s="125"/>
      <c r="BE82" s="125"/>
      <c r="BF82" s="125"/>
      <c r="BG82" s="125"/>
      <c r="BH82" s="125"/>
      <c r="BI82" s="125"/>
      <c r="BJ82" s="125"/>
      <c r="BK82" s="125"/>
      <c r="BL82" s="125"/>
      <c r="BM82" s="125"/>
      <c r="BN82" s="125"/>
      <c r="BO82" s="125"/>
      <c r="BP82" s="125"/>
      <c r="BQ82" s="125"/>
      <c r="BR82" s="125"/>
      <c r="BS82" s="125"/>
      <c r="BT82" s="125"/>
      <c r="BU82" s="125"/>
      <c r="BV82" s="125"/>
      <c r="BW82" s="125"/>
      <c r="BX82" s="125"/>
      <c r="BY82" s="125"/>
      <c r="BZ82" s="125"/>
      <c r="CA82" s="125"/>
      <c r="CB82" s="125"/>
      <c r="CC82" s="125"/>
      <c r="CD82" s="125"/>
      <c r="CE82" s="125"/>
      <c r="CF82" s="125"/>
      <c r="CG82" s="125"/>
      <c r="CH82" s="125"/>
      <c r="CI82" s="125"/>
      <c r="CJ82" s="125"/>
      <c r="CK82" s="125"/>
      <c r="CL82" s="125"/>
      <c r="CM82" s="125"/>
      <c r="CN82" s="125"/>
      <c r="CO82" s="125"/>
      <c r="CP82" s="125"/>
      <c r="CQ82" s="125"/>
      <c r="CR82" s="125"/>
      <c r="CS82" s="125"/>
      <c r="CT82" s="125"/>
      <c r="CU82" s="125"/>
      <c r="CV82" s="125"/>
      <c r="CW82" s="125"/>
      <c r="CX82" s="125"/>
      <c r="CY82" s="125"/>
      <c r="CZ82" s="125"/>
      <c r="DA82" s="125"/>
      <c r="DB82" s="125"/>
      <c r="DC82" s="125"/>
      <c r="DD82" s="125"/>
      <c r="DE82" s="125"/>
      <c r="DF82" s="125"/>
      <c r="DG82" s="125"/>
      <c r="DH82" s="125"/>
      <c r="DI82" s="125"/>
    </row>
    <row r="83" spans="1:113" ht="12.75">
      <c r="A83" s="124"/>
      <c r="B83" s="125"/>
      <c r="C83" s="125"/>
      <c r="D83" s="125"/>
      <c r="E83" s="125"/>
      <c r="F83" s="125"/>
      <c r="G83" s="125"/>
      <c r="H83" s="125"/>
      <c r="I83" s="125"/>
      <c r="J83" s="125"/>
      <c r="K83" s="125"/>
      <c r="L83" s="125"/>
      <c r="M83" s="125"/>
      <c r="N83" s="125"/>
      <c r="O83" s="125"/>
      <c r="P83" s="125"/>
      <c r="Q83" s="125"/>
      <c r="R83" s="125"/>
      <c r="S83" s="125"/>
      <c r="T83" s="125"/>
      <c r="U83" s="125"/>
      <c r="V83" s="125"/>
      <c r="W83" s="125"/>
      <c r="X83" s="125"/>
      <c r="Y83" s="125"/>
      <c r="Z83" s="125"/>
      <c r="AA83" s="125"/>
      <c r="AB83" s="125"/>
      <c r="AC83" s="125"/>
      <c r="AD83" s="125"/>
      <c r="AE83" s="125"/>
      <c r="AF83" s="125"/>
      <c r="AG83" s="125"/>
      <c r="AH83" s="125"/>
      <c r="AI83" s="125"/>
      <c r="AJ83" s="125"/>
      <c r="AK83" s="125"/>
      <c r="AL83" s="125"/>
      <c r="AM83" s="125"/>
      <c r="AN83" s="125"/>
      <c r="AO83" s="125"/>
      <c r="AP83" s="125"/>
      <c r="AQ83" s="125"/>
      <c r="AR83" s="125"/>
      <c r="AS83" s="125"/>
      <c r="AT83" s="125"/>
      <c r="AU83" s="125"/>
      <c r="AV83" s="125"/>
      <c r="AW83" s="125"/>
      <c r="AX83" s="125"/>
      <c r="AY83" s="125"/>
      <c r="AZ83" s="125"/>
      <c r="BA83" s="125"/>
      <c r="BB83" s="125"/>
      <c r="BC83" s="125"/>
      <c r="BD83" s="125"/>
      <c r="BE83" s="125"/>
      <c r="BF83" s="125"/>
      <c r="BG83" s="125"/>
      <c r="BH83" s="125"/>
      <c r="BI83" s="125"/>
      <c r="BJ83" s="125"/>
      <c r="BK83" s="125"/>
      <c r="BL83" s="125"/>
      <c r="BM83" s="125"/>
      <c r="BN83" s="125"/>
      <c r="BO83" s="125"/>
      <c r="BP83" s="125"/>
      <c r="BQ83" s="125"/>
      <c r="BR83" s="125"/>
      <c r="BS83" s="125"/>
      <c r="BT83" s="125"/>
      <c r="BU83" s="125"/>
      <c r="BV83" s="125"/>
      <c r="BW83" s="125"/>
      <c r="BX83" s="125"/>
      <c r="BY83" s="125"/>
      <c r="BZ83" s="125"/>
      <c r="CA83" s="125"/>
      <c r="CB83" s="125"/>
      <c r="CC83" s="125"/>
      <c r="CD83" s="125"/>
      <c r="CE83" s="125"/>
      <c r="CF83" s="125"/>
      <c r="CG83" s="125"/>
      <c r="CH83" s="125"/>
      <c r="CI83" s="125"/>
      <c r="CJ83" s="125"/>
      <c r="CK83" s="125"/>
      <c r="CL83" s="125"/>
      <c r="CM83" s="125"/>
      <c r="CN83" s="125"/>
      <c r="CO83" s="125"/>
      <c r="CP83" s="125"/>
      <c r="CQ83" s="125"/>
      <c r="CR83" s="125"/>
      <c r="CS83" s="125"/>
      <c r="CT83" s="125"/>
      <c r="CU83" s="125"/>
      <c r="CV83" s="125"/>
      <c r="CW83" s="125"/>
      <c r="CX83" s="125"/>
      <c r="CY83" s="125"/>
      <c r="CZ83" s="125"/>
      <c r="DA83" s="125"/>
      <c r="DB83" s="125"/>
      <c r="DC83" s="125"/>
      <c r="DD83" s="125"/>
      <c r="DE83" s="125"/>
      <c r="DF83" s="125"/>
      <c r="DG83" s="125"/>
      <c r="DH83" s="125"/>
      <c r="DI83" s="125"/>
    </row>
    <row r="84" spans="1:113" ht="12.75">
      <c r="A84" s="124"/>
      <c r="B84" s="125"/>
      <c r="C84" s="125"/>
      <c r="D84" s="125"/>
      <c r="E84" s="125"/>
      <c r="F84" s="125"/>
      <c r="G84" s="125"/>
      <c r="H84" s="125"/>
      <c r="I84" s="125"/>
      <c r="J84" s="125"/>
      <c r="K84" s="125"/>
      <c r="L84" s="125"/>
      <c r="M84" s="125"/>
      <c r="N84" s="125"/>
      <c r="O84" s="125"/>
      <c r="P84" s="125"/>
      <c r="Q84" s="125"/>
      <c r="R84" s="125"/>
      <c r="S84" s="125"/>
      <c r="T84" s="125"/>
      <c r="U84" s="125"/>
      <c r="V84" s="125"/>
      <c r="W84" s="125"/>
      <c r="X84" s="125"/>
      <c r="Y84" s="125"/>
      <c r="Z84" s="125"/>
      <c r="AA84" s="125"/>
      <c r="AB84" s="125"/>
      <c r="AC84" s="125"/>
      <c r="AD84" s="125"/>
      <c r="AE84" s="125"/>
      <c r="AF84" s="125"/>
      <c r="AG84" s="125"/>
      <c r="AH84" s="125"/>
      <c r="AI84" s="125"/>
      <c r="AJ84" s="125"/>
      <c r="AK84" s="125"/>
      <c r="AL84" s="125"/>
      <c r="AM84" s="125"/>
      <c r="AN84" s="125"/>
      <c r="AO84" s="125"/>
      <c r="AP84" s="125"/>
      <c r="AQ84" s="125"/>
      <c r="AR84" s="125"/>
      <c r="AS84" s="125"/>
      <c r="AT84" s="125"/>
      <c r="AU84" s="125"/>
      <c r="AV84" s="125"/>
      <c r="AW84" s="125"/>
      <c r="AX84" s="125"/>
      <c r="AY84" s="125"/>
      <c r="AZ84" s="125"/>
      <c r="BA84" s="125"/>
      <c r="BB84" s="125"/>
      <c r="BC84" s="125"/>
      <c r="BD84" s="125"/>
      <c r="BE84" s="125"/>
      <c r="BF84" s="125"/>
      <c r="BG84" s="125"/>
      <c r="BH84" s="125"/>
      <c r="BI84" s="125"/>
      <c r="BJ84" s="125"/>
      <c r="BK84" s="125"/>
      <c r="BL84" s="125"/>
      <c r="BM84" s="125"/>
      <c r="BN84" s="125"/>
      <c r="BO84" s="125"/>
      <c r="BP84" s="125"/>
      <c r="BQ84" s="125"/>
      <c r="BR84" s="125"/>
      <c r="BS84" s="125"/>
      <c r="BT84" s="125"/>
      <c r="BU84" s="125"/>
      <c r="BV84" s="125"/>
      <c r="BW84" s="125"/>
      <c r="BX84" s="125"/>
      <c r="BY84" s="125"/>
      <c r="BZ84" s="125"/>
      <c r="CA84" s="125"/>
      <c r="CB84" s="125"/>
      <c r="CC84" s="125"/>
      <c r="CD84" s="125"/>
      <c r="CE84" s="125"/>
      <c r="CF84" s="125"/>
      <c r="CG84" s="125"/>
      <c r="CH84" s="125"/>
      <c r="CI84" s="125"/>
      <c r="CJ84" s="125"/>
      <c r="CK84" s="125"/>
      <c r="CL84" s="125"/>
      <c r="CM84" s="125"/>
      <c r="CN84" s="125"/>
      <c r="CO84" s="125"/>
      <c r="CP84" s="125"/>
      <c r="CQ84" s="125"/>
      <c r="CR84" s="125"/>
      <c r="CS84" s="125"/>
      <c r="CT84" s="125"/>
      <c r="CU84" s="125"/>
      <c r="CV84" s="125"/>
      <c r="CW84" s="125"/>
      <c r="CX84" s="125"/>
      <c r="CY84" s="125"/>
      <c r="CZ84" s="125"/>
      <c r="DA84" s="125"/>
      <c r="DB84" s="125"/>
      <c r="DC84" s="125"/>
      <c r="DD84" s="125"/>
      <c r="DE84" s="125"/>
      <c r="DF84" s="125"/>
      <c r="DG84" s="125"/>
      <c r="DH84" s="125"/>
      <c r="DI84" s="125"/>
    </row>
    <row r="85" spans="1:113" ht="12.75">
      <c r="A85" s="124"/>
      <c r="B85" s="125"/>
      <c r="C85" s="125"/>
      <c r="D85" s="125"/>
      <c r="E85" s="125"/>
      <c r="F85" s="125"/>
      <c r="G85" s="125"/>
      <c r="H85" s="125"/>
      <c r="I85" s="125"/>
      <c r="J85" s="125"/>
      <c r="K85" s="125"/>
      <c r="L85" s="125"/>
      <c r="M85" s="125"/>
      <c r="N85" s="125"/>
      <c r="O85" s="125"/>
      <c r="P85" s="125"/>
      <c r="Q85" s="125"/>
      <c r="R85" s="125"/>
      <c r="S85" s="125"/>
      <c r="T85" s="125"/>
      <c r="U85" s="125"/>
      <c r="V85" s="125"/>
      <c r="W85" s="125"/>
      <c r="X85" s="125"/>
      <c r="Y85" s="125"/>
      <c r="Z85" s="125"/>
      <c r="AA85" s="125"/>
      <c r="AB85" s="125"/>
      <c r="AC85" s="125"/>
      <c r="AD85" s="125"/>
      <c r="AE85" s="125"/>
      <c r="AF85" s="125"/>
      <c r="AG85" s="125"/>
      <c r="AH85" s="125"/>
      <c r="AI85" s="125"/>
      <c r="AJ85" s="125"/>
      <c r="AK85" s="125"/>
      <c r="AL85" s="125"/>
      <c r="AM85" s="125"/>
      <c r="AN85" s="125"/>
      <c r="AO85" s="125"/>
      <c r="AP85" s="125"/>
      <c r="AQ85" s="125"/>
      <c r="AR85" s="125"/>
      <c r="AS85" s="125"/>
      <c r="AT85" s="125"/>
      <c r="AU85" s="125"/>
      <c r="AV85" s="125"/>
      <c r="AW85" s="125"/>
      <c r="AX85" s="125"/>
      <c r="AY85" s="125"/>
      <c r="AZ85" s="125"/>
      <c r="BA85" s="125"/>
      <c r="BB85" s="125"/>
      <c r="BC85" s="125"/>
      <c r="BD85" s="125"/>
      <c r="BE85" s="125"/>
      <c r="BF85" s="125"/>
      <c r="BG85" s="125"/>
      <c r="BH85" s="125"/>
      <c r="BI85" s="125"/>
      <c r="BJ85" s="125"/>
      <c r="BK85" s="125"/>
      <c r="BL85" s="125"/>
      <c r="BM85" s="125"/>
      <c r="BN85" s="125"/>
      <c r="BO85" s="125"/>
      <c r="BP85" s="125"/>
      <c r="BQ85" s="125"/>
      <c r="BR85" s="125"/>
      <c r="BS85" s="125"/>
      <c r="BT85" s="125"/>
      <c r="BU85" s="125"/>
      <c r="BV85" s="125"/>
      <c r="BW85" s="125"/>
      <c r="BX85" s="125"/>
      <c r="BY85" s="125"/>
      <c r="BZ85" s="125"/>
      <c r="CA85" s="125"/>
      <c r="CB85" s="125"/>
      <c r="CC85" s="125"/>
      <c r="CD85" s="125"/>
      <c r="CE85" s="125"/>
      <c r="CF85" s="125"/>
      <c r="CG85" s="125"/>
      <c r="CH85" s="125"/>
      <c r="CI85" s="125"/>
      <c r="CJ85" s="125"/>
      <c r="CK85" s="125"/>
      <c r="CL85" s="125"/>
      <c r="CM85" s="125"/>
      <c r="CN85" s="125"/>
      <c r="CO85" s="125"/>
      <c r="CP85" s="125"/>
      <c r="CQ85" s="125"/>
      <c r="CR85" s="125"/>
      <c r="CS85" s="125"/>
      <c r="CT85" s="125"/>
      <c r="CU85" s="125"/>
      <c r="CV85" s="125"/>
      <c r="CW85" s="125"/>
      <c r="CX85" s="125"/>
      <c r="CY85" s="125"/>
      <c r="CZ85" s="125"/>
      <c r="DA85" s="125"/>
      <c r="DB85" s="125"/>
      <c r="DC85" s="125"/>
      <c r="DD85" s="125"/>
      <c r="DE85" s="125"/>
      <c r="DF85" s="125"/>
      <c r="DG85" s="125"/>
      <c r="DH85" s="125"/>
      <c r="DI85" s="125"/>
    </row>
    <row r="86" spans="1:113" ht="12.75">
      <c r="A86" s="124"/>
      <c r="B86" s="125"/>
      <c r="C86" s="125"/>
      <c r="D86" s="125"/>
      <c r="E86" s="125"/>
      <c r="F86" s="125"/>
      <c r="G86" s="125"/>
      <c r="H86" s="125"/>
      <c r="I86" s="125"/>
      <c r="J86" s="125"/>
      <c r="K86" s="125"/>
      <c r="L86" s="125"/>
      <c r="M86" s="125"/>
      <c r="N86" s="125"/>
      <c r="O86" s="125"/>
      <c r="P86" s="125"/>
      <c r="Q86" s="125"/>
      <c r="R86" s="125"/>
      <c r="S86" s="125"/>
      <c r="T86" s="125"/>
      <c r="U86" s="125"/>
      <c r="V86" s="125"/>
      <c r="W86" s="125"/>
      <c r="X86" s="125"/>
      <c r="Y86" s="125"/>
      <c r="Z86" s="125"/>
      <c r="AA86" s="125"/>
      <c r="AB86" s="125"/>
      <c r="AC86" s="125"/>
      <c r="AD86" s="125"/>
      <c r="AE86" s="125"/>
      <c r="AF86" s="125"/>
      <c r="AG86" s="125"/>
      <c r="AH86" s="125"/>
      <c r="AI86" s="125"/>
      <c r="AJ86" s="125"/>
      <c r="AK86" s="125"/>
      <c r="AL86" s="125"/>
      <c r="AM86" s="125"/>
      <c r="AN86" s="125"/>
      <c r="AO86" s="125"/>
      <c r="AP86" s="125"/>
      <c r="AQ86" s="125"/>
      <c r="AR86" s="125"/>
      <c r="AS86" s="125"/>
      <c r="AT86" s="125"/>
      <c r="AU86" s="125"/>
      <c r="AV86" s="125"/>
      <c r="AW86" s="125"/>
      <c r="AX86" s="125"/>
      <c r="AY86" s="125"/>
      <c r="AZ86" s="125"/>
      <c r="BA86" s="125"/>
      <c r="BB86" s="125"/>
      <c r="BC86" s="125"/>
      <c r="BD86" s="125"/>
      <c r="BE86" s="125"/>
      <c r="BF86" s="125"/>
      <c r="BG86" s="125"/>
      <c r="BH86" s="125"/>
      <c r="BI86" s="125"/>
      <c r="BJ86" s="125"/>
      <c r="BK86" s="125"/>
      <c r="BL86" s="125"/>
      <c r="BM86" s="125"/>
      <c r="BN86" s="125"/>
      <c r="BO86" s="125"/>
      <c r="BP86" s="125"/>
      <c r="BQ86" s="125"/>
      <c r="BR86" s="125"/>
      <c r="BS86" s="125"/>
      <c r="BT86" s="125"/>
      <c r="BU86" s="125"/>
      <c r="BV86" s="125"/>
      <c r="BW86" s="125"/>
      <c r="BX86" s="125"/>
      <c r="BY86" s="125"/>
      <c r="BZ86" s="125"/>
      <c r="CA86" s="125"/>
      <c r="CB86" s="125"/>
      <c r="CC86" s="125"/>
      <c r="CD86" s="125"/>
      <c r="CE86" s="125"/>
      <c r="CF86" s="125"/>
      <c r="CG86" s="125"/>
      <c r="CH86" s="125"/>
      <c r="CI86" s="125"/>
      <c r="CJ86" s="125"/>
      <c r="CK86" s="125"/>
      <c r="CL86" s="125"/>
      <c r="CM86" s="125"/>
      <c r="CN86" s="125"/>
      <c r="CO86" s="125"/>
      <c r="CP86" s="125"/>
      <c r="CQ86" s="125"/>
      <c r="CR86" s="125"/>
      <c r="CS86" s="125"/>
      <c r="CT86" s="125"/>
      <c r="CU86" s="125"/>
      <c r="CV86" s="125"/>
      <c r="CW86" s="125"/>
      <c r="CX86" s="125"/>
      <c r="CY86" s="125"/>
      <c r="CZ86" s="125"/>
      <c r="DA86" s="125"/>
      <c r="DB86" s="125"/>
      <c r="DC86" s="125"/>
      <c r="DD86" s="125"/>
      <c r="DE86" s="125"/>
      <c r="DF86" s="125"/>
      <c r="DG86" s="125"/>
      <c r="DH86" s="125"/>
      <c r="DI86" s="125"/>
    </row>
    <row r="87" spans="1:113" ht="12.75">
      <c r="A87" s="124"/>
      <c r="B87" s="125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5"/>
      <c r="Q87" s="125"/>
      <c r="R87" s="125"/>
      <c r="S87" s="125"/>
      <c r="T87" s="125"/>
      <c r="U87" s="125"/>
      <c r="V87" s="125"/>
      <c r="W87" s="125"/>
      <c r="X87" s="125"/>
      <c r="Y87" s="125"/>
      <c r="Z87" s="125"/>
      <c r="AA87" s="125"/>
      <c r="AB87" s="125"/>
      <c r="AC87" s="125"/>
      <c r="AD87" s="125"/>
      <c r="AE87" s="125"/>
      <c r="AF87" s="125"/>
      <c r="AG87" s="125"/>
      <c r="AH87" s="125"/>
      <c r="AI87" s="125"/>
      <c r="AJ87" s="125"/>
      <c r="AK87" s="125"/>
      <c r="AL87" s="125"/>
      <c r="AM87" s="125"/>
      <c r="AN87" s="125"/>
      <c r="AO87" s="125"/>
      <c r="AP87" s="125"/>
      <c r="AQ87" s="125"/>
      <c r="AR87" s="125"/>
      <c r="AS87" s="125"/>
      <c r="AT87" s="125"/>
      <c r="AU87" s="125"/>
      <c r="AV87" s="125"/>
      <c r="AW87" s="125"/>
      <c r="AX87" s="125"/>
      <c r="AY87" s="125"/>
      <c r="AZ87" s="125"/>
      <c r="BA87" s="125"/>
      <c r="BB87" s="125"/>
      <c r="BC87" s="125"/>
      <c r="BD87" s="125"/>
      <c r="BE87" s="125"/>
      <c r="BF87" s="125"/>
      <c r="BG87" s="125"/>
      <c r="BH87" s="125"/>
      <c r="BI87" s="125"/>
      <c r="BJ87" s="125"/>
      <c r="BK87" s="125"/>
      <c r="BL87" s="125"/>
      <c r="BM87" s="125"/>
      <c r="BN87" s="125"/>
      <c r="BO87" s="125"/>
      <c r="BP87" s="125"/>
      <c r="BQ87" s="125"/>
      <c r="BR87" s="125"/>
      <c r="BS87" s="125"/>
      <c r="BT87" s="125"/>
      <c r="BU87" s="125"/>
      <c r="BV87" s="125"/>
      <c r="BW87" s="125"/>
      <c r="BX87" s="125"/>
      <c r="BY87" s="125"/>
      <c r="BZ87" s="125"/>
      <c r="CA87" s="125"/>
      <c r="CB87" s="125"/>
      <c r="CC87" s="125"/>
      <c r="CD87" s="125"/>
      <c r="CE87" s="125"/>
      <c r="CF87" s="125"/>
      <c r="CG87" s="125"/>
      <c r="CH87" s="125"/>
      <c r="CI87" s="125"/>
      <c r="CJ87" s="125"/>
      <c r="CK87" s="125"/>
      <c r="CL87" s="125"/>
      <c r="CM87" s="125"/>
      <c r="CN87" s="125"/>
      <c r="CO87" s="125"/>
      <c r="CP87" s="125"/>
      <c r="CQ87" s="125"/>
      <c r="CR87" s="125"/>
      <c r="CS87" s="125"/>
      <c r="CT87" s="125"/>
      <c r="CU87" s="125"/>
      <c r="CV87" s="125"/>
      <c r="CW87" s="125"/>
      <c r="CX87" s="125"/>
      <c r="CY87" s="125"/>
      <c r="CZ87" s="125"/>
      <c r="DA87" s="125"/>
      <c r="DB87" s="125"/>
      <c r="DC87" s="125"/>
      <c r="DD87" s="125"/>
      <c r="DE87" s="125"/>
      <c r="DF87" s="125"/>
      <c r="DG87" s="125"/>
      <c r="DH87" s="125"/>
      <c r="DI87" s="125"/>
    </row>
    <row r="88" spans="1:113" ht="12.75">
      <c r="A88" s="124"/>
      <c r="B88" s="125"/>
      <c r="C88" s="125"/>
      <c r="D88" s="125"/>
      <c r="E88" s="125"/>
      <c r="F88" s="125"/>
      <c r="G88" s="125"/>
      <c r="H88" s="125"/>
      <c r="I88" s="125"/>
      <c r="J88" s="125"/>
      <c r="K88" s="125"/>
      <c r="L88" s="125"/>
      <c r="M88" s="125"/>
      <c r="N88" s="125"/>
      <c r="O88" s="125"/>
      <c r="P88" s="125"/>
      <c r="Q88" s="125"/>
      <c r="R88" s="125"/>
      <c r="S88" s="125"/>
      <c r="T88" s="125"/>
      <c r="U88" s="125"/>
      <c r="V88" s="125"/>
      <c r="W88" s="125"/>
      <c r="X88" s="125"/>
      <c r="Y88" s="125"/>
      <c r="Z88" s="125"/>
      <c r="AA88" s="125"/>
      <c r="AB88" s="125"/>
      <c r="AC88" s="125"/>
      <c r="AD88" s="125"/>
      <c r="AE88" s="125"/>
      <c r="AF88" s="125"/>
      <c r="AG88" s="125"/>
      <c r="AH88" s="125"/>
      <c r="AI88" s="125"/>
      <c r="AJ88" s="125"/>
      <c r="AK88" s="125"/>
      <c r="AL88" s="125"/>
      <c r="AM88" s="125"/>
      <c r="AN88" s="125"/>
      <c r="AO88" s="125"/>
      <c r="AP88" s="125"/>
      <c r="AQ88" s="125"/>
      <c r="AR88" s="125"/>
      <c r="AS88" s="125"/>
      <c r="AT88" s="125"/>
      <c r="AU88" s="125"/>
      <c r="AV88" s="125"/>
      <c r="AW88" s="125"/>
      <c r="AX88" s="125"/>
      <c r="AY88" s="125"/>
      <c r="AZ88" s="125"/>
      <c r="BA88" s="125"/>
      <c r="BB88" s="125"/>
      <c r="BC88" s="125"/>
      <c r="BD88" s="125"/>
      <c r="BE88" s="125"/>
      <c r="BF88" s="125"/>
      <c r="BG88" s="125"/>
      <c r="BH88" s="125"/>
      <c r="BI88" s="125"/>
      <c r="BJ88" s="125"/>
      <c r="BK88" s="125"/>
      <c r="BL88" s="125"/>
      <c r="BM88" s="125"/>
      <c r="BN88" s="125"/>
      <c r="BO88" s="125"/>
      <c r="BP88" s="125"/>
      <c r="BQ88" s="125"/>
      <c r="BR88" s="125"/>
      <c r="BS88" s="125"/>
      <c r="BT88" s="125"/>
      <c r="BU88" s="125"/>
      <c r="BV88" s="125"/>
      <c r="BW88" s="125"/>
      <c r="BX88" s="125"/>
      <c r="BY88" s="125"/>
      <c r="BZ88" s="125"/>
      <c r="CA88" s="125"/>
      <c r="CB88" s="125"/>
      <c r="CC88" s="125"/>
      <c r="CD88" s="125"/>
      <c r="CE88" s="125"/>
      <c r="CF88" s="125"/>
      <c r="CG88" s="125"/>
      <c r="CH88" s="125"/>
      <c r="CI88" s="125"/>
      <c r="CJ88" s="125"/>
      <c r="CK88" s="125"/>
      <c r="CL88" s="125"/>
      <c r="CM88" s="125"/>
      <c r="CN88" s="125"/>
      <c r="CO88" s="125"/>
      <c r="CP88" s="125"/>
      <c r="CQ88" s="125"/>
      <c r="CR88" s="125"/>
      <c r="CS88" s="125"/>
      <c r="CT88" s="125"/>
      <c r="CU88" s="125"/>
      <c r="CV88" s="125"/>
      <c r="CW88" s="125"/>
      <c r="CX88" s="125"/>
      <c r="CY88" s="125"/>
      <c r="CZ88" s="125"/>
      <c r="DA88" s="125"/>
      <c r="DB88" s="125"/>
      <c r="DC88" s="125"/>
      <c r="DD88" s="125"/>
      <c r="DE88" s="125"/>
      <c r="DF88" s="125"/>
      <c r="DG88" s="125"/>
      <c r="DH88" s="125"/>
      <c r="DI88" s="125"/>
    </row>
    <row r="89" spans="1:113" ht="12.75">
      <c r="A89" s="125"/>
      <c r="B89" s="125"/>
      <c r="C89" s="125"/>
      <c r="D89" s="125"/>
      <c r="E89" s="125"/>
      <c r="F89" s="125"/>
      <c r="G89" s="125"/>
      <c r="H89" s="125"/>
      <c r="I89" s="125"/>
      <c r="J89" s="125"/>
      <c r="K89" s="125"/>
      <c r="L89" s="125"/>
      <c r="M89" s="125"/>
      <c r="N89" s="125"/>
      <c r="O89" s="125"/>
      <c r="P89" s="125"/>
      <c r="Q89" s="125"/>
      <c r="R89" s="125"/>
      <c r="S89" s="125"/>
      <c r="T89" s="125"/>
      <c r="U89" s="125"/>
      <c r="V89" s="125"/>
      <c r="W89" s="125"/>
      <c r="X89" s="125"/>
      <c r="Y89" s="125"/>
      <c r="Z89" s="125"/>
      <c r="AA89" s="125"/>
      <c r="AB89" s="125"/>
      <c r="AC89" s="125"/>
      <c r="AD89" s="125"/>
      <c r="AE89" s="125"/>
      <c r="AF89" s="125"/>
      <c r="AG89" s="125"/>
      <c r="AH89" s="125"/>
      <c r="AI89" s="125"/>
      <c r="AJ89" s="125"/>
      <c r="AK89" s="125"/>
      <c r="AL89" s="125"/>
      <c r="AM89" s="125"/>
      <c r="AN89" s="125"/>
      <c r="AO89" s="125"/>
      <c r="AP89" s="125"/>
      <c r="AQ89" s="125"/>
      <c r="AR89" s="125"/>
      <c r="AS89" s="125"/>
      <c r="AT89" s="125"/>
      <c r="AU89" s="125"/>
      <c r="AV89" s="125"/>
      <c r="AW89" s="125"/>
      <c r="AX89" s="125"/>
      <c r="AY89" s="125"/>
      <c r="AZ89" s="125"/>
      <c r="BA89" s="125"/>
      <c r="BB89" s="125"/>
      <c r="BC89" s="125"/>
      <c r="BD89" s="125"/>
      <c r="BE89" s="125"/>
      <c r="BF89" s="125"/>
      <c r="BG89" s="125"/>
      <c r="BH89" s="125"/>
      <c r="BI89" s="125"/>
      <c r="BJ89" s="125"/>
      <c r="BK89" s="125"/>
      <c r="BL89" s="125"/>
      <c r="BM89" s="125"/>
      <c r="BN89" s="125"/>
      <c r="BO89" s="125"/>
      <c r="BP89" s="125"/>
      <c r="BQ89" s="125"/>
      <c r="BR89" s="125"/>
      <c r="BS89" s="125"/>
      <c r="BT89" s="125"/>
      <c r="BU89" s="125"/>
      <c r="BV89" s="125"/>
      <c r="BW89" s="125"/>
      <c r="BX89" s="125"/>
      <c r="BY89" s="125"/>
      <c r="BZ89" s="125"/>
      <c r="CA89" s="125"/>
      <c r="CB89" s="125"/>
      <c r="CC89" s="125"/>
      <c r="CD89" s="125"/>
      <c r="CE89" s="125"/>
      <c r="CF89" s="125"/>
      <c r="CG89" s="125"/>
      <c r="CH89" s="125"/>
      <c r="CI89" s="125"/>
      <c r="CJ89" s="125"/>
      <c r="CK89" s="125"/>
      <c r="CL89" s="125"/>
      <c r="CM89" s="125"/>
      <c r="CN89" s="125"/>
      <c r="CO89" s="125"/>
      <c r="CP89" s="125"/>
      <c r="CQ89" s="125"/>
      <c r="CR89" s="125"/>
      <c r="CS89" s="125"/>
      <c r="CT89" s="125"/>
      <c r="CU89" s="125"/>
      <c r="CV89" s="125"/>
      <c r="CW89" s="125"/>
      <c r="CX89" s="125"/>
      <c r="CY89" s="125"/>
      <c r="CZ89" s="125"/>
      <c r="DA89" s="125"/>
      <c r="DB89" s="125"/>
      <c r="DC89" s="125"/>
      <c r="DD89" s="125"/>
      <c r="DE89" s="125"/>
      <c r="DF89" s="125"/>
      <c r="DG89" s="125"/>
      <c r="DH89" s="125"/>
      <c r="DI89" s="125"/>
    </row>
    <row r="90" spans="1:113" ht="12.75">
      <c r="A90" s="125"/>
      <c r="B90" s="125"/>
      <c r="C90" s="125"/>
      <c r="D90" s="125"/>
      <c r="E90" s="125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25"/>
      <c r="R90" s="125"/>
      <c r="S90" s="125"/>
      <c r="T90" s="125"/>
      <c r="U90" s="125"/>
      <c r="V90" s="125"/>
      <c r="W90" s="125"/>
      <c r="X90" s="125"/>
      <c r="Y90" s="125"/>
      <c r="Z90" s="125"/>
      <c r="AA90" s="125"/>
      <c r="AB90" s="125"/>
      <c r="AC90" s="125"/>
      <c r="AD90" s="125"/>
      <c r="AE90" s="125"/>
      <c r="AF90" s="125"/>
      <c r="AG90" s="125"/>
      <c r="AH90" s="125"/>
      <c r="AI90" s="125"/>
      <c r="AJ90" s="125"/>
      <c r="AK90" s="125"/>
      <c r="AL90" s="125"/>
      <c r="AM90" s="125"/>
      <c r="AN90" s="125"/>
      <c r="AO90" s="125"/>
      <c r="AP90" s="125"/>
      <c r="AQ90" s="125"/>
      <c r="AR90" s="125"/>
      <c r="AS90" s="125"/>
      <c r="AT90" s="125"/>
      <c r="AU90" s="125"/>
      <c r="AV90" s="125"/>
      <c r="AW90" s="125"/>
      <c r="AX90" s="125"/>
      <c r="AY90" s="125"/>
      <c r="AZ90" s="125"/>
      <c r="BA90" s="125"/>
      <c r="BB90" s="125"/>
      <c r="BC90" s="125"/>
      <c r="BD90" s="125"/>
      <c r="BE90" s="125"/>
      <c r="BF90" s="125"/>
      <c r="BG90" s="125"/>
      <c r="BH90" s="125"/>
      <c r="BI90" s="125"/>
      <c r="BJ90" s="125"/>
      <c r="BK90" s="125"/>
      <c r="BL90" s="125"/>
      <c r="BM90" s="125"/>
      <c r="BN90" s="125"/>
      <c r="BO90" s="125"/>
      <c r="BP90" s="125"/>
      <c r="BQ90" s="125"/>
      <c r="BR90" s="125"/>
      <c r="BS90" s="125"/>
      <c r="BT90" s="125"/>
      <c r="BU90" s="125"/>
      <c r="BV90" s="125"/>
      <c r="BW90" s="125"/>
      <c r="BX90" s="125"/>
      <c r="BY90" s="125"/>
      <c r="BZ90" s="125"/>
      <c r="CA90" s="125"/>
      <c r="CB90" s="125"/>
      <c r="CC90" s="125"/>
      <c r="CD90" s="125"/>
      <c r="CE90" s="125"/>
      <c r="CF90" s="125"/>
      <c r="CG90" s="125"/>
      <c r="CH90" s="125"/>
      <c r="CI90" s="125"/>
      <c r="CJ90" s="125"/>
      <c r="CK90" s="125"/>
      <c r="CL90" s="125"/>
      <c r="CM90" s="125"/>
      <c r="CN90" s="125"/>
      <c r="CO90" s="125"/>
      <c r="CP90" s="125"/>
      <c r="CQ90" s="125"/>
      <c r="CR90" s="125"/>
      <c r="CS90" s="125"/>
      <c r="CT90" s="125"/>
      <c r="CU90" s="125"/>
      <c r="CV90" s="125"/>
      <c r="CW90" s="125"/>
      <c r="CX90" s="125"/>
      <c r="CY90" s="125"/>
      <c r="CZ90" s="125"/>
      <c r="DA90" s="125"/>
      <c r="DB90" s="125"/>
      <c r="DC90" s="125"/>
      <c r="DD90" s="125"/>
      <c r="DE90" s="125"/>
      <c r="DF90" s="125"/>
      <c r="DG90" s="125"/>
      <c r="DH90" s="125"/>
      <c r="DI90" s="125"/>
    </row>
    <row r="91" spans="1:113" ht="12.75">
      <c r="A91" s="125"/>
      <c r="B91" s="125"/>
      <c r="C91" s="125"/>
      <c r="D91" s="125"/>
      <c r="E91" s="125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Q91" s="125"/>
      <c r="R91" s="125"/>
      <c r="S91" s="125"/>
      <c r="T91" s="125"/>
      <c r="U91" s="125"/>
      <c r="V91" s="125"/>
      <c r="W91" s="125"/>
      <c r="X91" s="125"/>
      <c r="Y91" s="125"/>
      <c r="Z91" s="125"/>
      <c r="AA91" s="125"/>
      <c r="AB91" s="125"/>
      <c r="AC91" s="125"/>
      <c r="AD91" s="125"/>
      <c r="AE91" s="125"/>
      <c r="AF91" s="125"/>
      <c r="AG91" s="125"/>
      <c r="AH91" s="125"/>
      <c r="AI91" s="125"/>
      <c r="AJ91" s="125"/>
      <c r="AK91" s="125"/>
      <c r="AL91" s="125"/>
      <c r="AM91" s="125"/>
      <c r="AN91" s="125"/>
      <c r="AO91" s="125"/>
      <c r="AP91" s="125"/>
      <c r="AQ91" s="125"/>
      <c r="AR91" s="125"/>
      <c r="AS91" s="125"/>
      <c r="AT91" s="125"/>
      <c r="AU91" s="125"/>
      <c r="AV91" s="125"/>
      <c r="AW91" s="125"/>
      <c r="AX91" s="125"/>
      <c r="AY91" s="125"/>
      <c r="AZ91" s="125"/>
      <c r="BA91" s="125"/>
      <c r="BB91" s="125"/>
      <c r="BC91" s="125"/>
      <c r="BD91" s="125"/>
      <c r="BE91" s="125"/>
      <c r="BF91" s="125"/>
      <c r="BG91" s="125"/>
      <c r="BH91" s="125"/>
      <c r="BI91" s="125"/>
      <c r="BJ91" s="125"/>
      <c r="BK91" s="125"/>
      <c r="BL91" s="125"/>
      <c r="BM91" s="125"/>
      <c r="BN91" s="125"/>
      <c r="BO91" s="125"/>
      <c r="BP91" s="125"/>
      <c r="BQ91" s="125"/>
      <c r="BR91" s="125"/>
      <c r="BS91" s="125"/>
      <c r="BT91" s="125"/>
      <c r="BU91" s="125"/>
      <c r="BV91" s="125"/>
      <c r="BW91" s="125"/>
      <c r="BX91" s="125"/>
      <c r="BY91" s="125"/>
      <c r="BZ91" s="125"/>
      <c r="CA91" s="125"/>
      <c r="CB91" s="125"/>
      <c r="CC91" s="125"/>
      <c r="CD91" s="125"/>
      <c r="CE91" s="125"/>
      <c r="CF91" s="125"/>
      <c r="CG91" s="125"/>
      <c r="CH91" s="125"/>
      <c r="CI91" s="125"/>
      <c r="CJ91" s="125"/>
      <c r="CK91" s="125"/>
      <c r="CL91" s="125"/>
      <c r="CM91" s="125"/>
      <c r="CN91" s="125"/>
      <c r="CO91" s="125"/>
      <c r="CP91" s="125"/>
      <c r="CQ91" s="125"/>
      <c r="CR91" s="125"/>
      <c r="CS91" s="125"/>
      <c r="CT91" s="125"/>
      <c r="CU91" s="125"/>
      <c r="CV91" s="125"/>
      <c r="CW91" s="125"/>
      <c r="CX91" s="125"/>
      <c r="CY91" s="125"/>
      <c r="CZ91" s="125"/>
      <c r="DA91" s="125"/>
      <c r="DB91" s="125"/>
      <c r="DC91" s="125"/>
      <c r="DD91" s="125"/>
      <c r="DE91" s="125"/>
      <c r="DF91" s="125"/>
      <c r="DG91" s="125"/>
      <c r="DH91" s="125"/>
      <c r="DI91" s="125"/>
    </row>
    <row r="92" spans="1:113" ht="12.75">
      <c r="A92" s="125"/>
      <c r="B92" s="125"/>
      <c r="C92" s="125"/>
      <c r="D92" s="125"/>
      <c r="E92" s="125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P92" s="125"/>
      <c r="Q92" s="125"/>
      <c r="R92" s="125"/>
      <c r="S92" s="125"/>
      <c r="T92" s="125"/>
      <c r="U92" s="125"/>
      <c r="V92" s="125"/>
      <c r="W92" s="125"/>
      <c r="X92" s="125"/>
      <c r="Y92" s="125"/>
      <c r="Z92" s="125"/>
      <c r="AA92" s="125"/>
      <c r="AB92" s="125"/>
      <c r="AC92" s="125"/>
      <c r="AD92" s="125"/>
      <c r="AE92" s="125"/>
      <c r="AF92" s="125"/>
      <c r="AG92" s="125"/>
      <c r="AH92" s="125"/>
      <c r="AI92" s="125"/>
      <c r="AJ92" s="125"/>
      <c r="AK92" s="125"/>
      <c r="AL92" s="125"/>
      <c r="AM92" s="125"/>
      <c r="AN92" s="125"/>
      <c r="AO92" s="125"/>
      <c r="AP92" s="125"/>
      <c r="AQ92" s="125"/>
      <c r="AR92" s="125"/>
      <c r="AS92" s="125"/>
      <c r="AT92" s="125"/>
      <c r="AU92" s="125"/>
      <c r="AV92" s="125"/>
      <c r="AW92" s="125"/>
      <c r="AX92" s="125"/>
      <c r="AY92" s="125"/>
      <c r="AZ92" s="125"/>
      <c r="BA92" s="125"/>
      <c r="BB92" s="125"/>
      <c r="BC92" s="125"/>
      <c r="BD92" s="125"/>
      <c r="BE92" s="125"/>
      <c r="BF92" s="125"/>
      <c r="BG92" s="125"/>
      <c r="BH92" s="125"/>
      <c r="BI92" s="125"/>
      <c r="BJ92" s="125"/>
      <c r="BK92" s="125"/>
      <c r="BL92" s="125"/>
      <c r="BM92" s="125"/>
      <c r="BN92" s="125"/>
      <c r="BO92" s="125"/>
      <c r="BP92" s="125"/>
      <c r="BQ92" s="125"/>
      <c r="BR92" s="125"/>
      <c r="BS92" s="125"/>
      <c r="BT92" s="125"/>
      <c r="BU92" s="125"/>
      <c r="BV92" s="125"/>
      <c r="BW92" s="125"/>
      <c r="BX92" s="125"/>
      <c r="BY92" s="125"/>
      <c r="BZ92" s="125"/>
      <c r="CA92" s="125"/>
      <c r="CB92" s="125"/>
      <c r="CC92" s="125"/>
      <c r="CD92" s="125"/>
      <c r="CE92" s="125"/>
      <c r="CF92" s="125"/>
      <c r="CG92" s="125"/>
      <c r="CH92" s="125"/>
      <c r="CI92" s="125"/>
      <c r="CJ92" s="125"/>
      <c r="CK92" s="125"/>
      <c r="CL92" s="125"/>
      <c r="CM92" s="125"/>
      <c r="CN92" s="125"/>
      <c r="CO92" s="125"/>
      <c r="CP92" s="125"/>
      <c r="CQ92" s="125"/>
      <c r="CR92" s="125"/>
      <c r="CS92" s="125"/>
      <c r="CT92" s="125"/>
      <c r="CU92" s="125"/>
      <c r="CV92" s="125"/>
      <c r="CW92" s="125"/>
      <c r="CX92" s="125"/>
      <c r="CY92" s="125"/>
      <c r="CZ92" s="125"/>
      <c r="DA92" s="125"/>
      <c r="DB92" s="125"/>
      <c r="DC92" s="125"/>
      <c r="DD92" s="125"/>
      <c r="DE92" s="125"/>
      <c r="DF92" s="125"/>
      <c r="DG92" s="125"/>
      <c r="DH92" s="125"/>
      <c r="DI92" s="125"/>
    </row>
    <row r="93" spans="1:113" ht="12.75">
      <c r="A93" s="125"/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P93" s="125"/>
      <c r="Q93" s="125"/>
      <c r="R93" s="125"/>
      <c r="S93" s="125"/>
      <c r="T93" s="125"/>
      <c r="U93" s="125"/>
      <c r="V93" s="125"/>
      <c r="W93" s="125"/>
      <c r="X93" s="125"/>
      <c r="Y93" s="125"/>
      <c r="Z93" s="125"/>
      <c r="AA93" s="125"/>
      <c r="AB93" s="125"/>
      <c r="AC93" s="125"/>
      <c r="AD93" s="125"/>
      <c r="AE93" s="125"/>
      <c r="AF93" s="125"/>
      <c r="AG93" s="125"/>
      <c r="AH93" s="125"/>
      <c r="AI93" s="125"/>
      <c r="AJ93" s="125"/>
      <c r="AK93" s="125"/>
      <c r="AL93" s="125"/>
      <c r="AM93" s="125"/>
      <c r="AN93" s="125"/>
      <c r="AO93" s="125"/>
      <c r="AP93" s="125"/>
      <c r="AQ93" s="125"/>
      <c r="AR93" s="125"/>
      <c r="AS93" s="125"/>
      <c r="AT93" s="125"/>
      <c r="AU93" s="125"/>
      <c r="AV93" s="125"/>
      <c r="AW93" s="125"/>
      <c r="AX93" s="125"/>
      <c r="AY93" s="125"/>
      <c r="AZ93" s="125"/>
      <c r="BA93" s="125"/>
      <c r="BB93" s="125"/>
      <c r="BC93" s="125"/>
      <c r="BD93" s="125"/>
      <c r="BE93" s="125"/>
      <c r="BF93" s="125"/>
      <c r="BG93" s="125"/>
      <c r="BH93" s="125"/>
      <c r="BI93" s="125"/>
      <c r="BJ93" s="125"/>
      <c r="BK93" s="125"/>
      <c r="BL93" s="125"/>
      <c r="BM93" s="125"/>
      <c r="BN93" s="125"/>
      <c r="BO93" s="125"/>
      <c r="BP93" s="125"/>
      <c r="BQ93" s="125"/>
      <c r="BR93" s="125"/>
      <c r="BS93" s="125"/>
      <c r="BT93" s="125"/>
      <c r="BU93" s="125"/>
      <c r="BV93" s="125"/>
      <c r="BW93" s="125"/>
      <c r="BX93" s="125"/>
      <c r="BY93" s="125"/>
      <c r="BZ93" s="125"/>
      <c r="CA93" s="125"/>
      <c r="CB93" s="125"/>
      <c r="CC93" s="125"/>
      <c r="CD93" s="125"/>
      <c r="CE93" s="125"/>
      <c r="CF93" s="125"/>
      <c r="CG93" s="125"/>
      <c r="CH93" s="125"/>
      <c r="CI93" s="125"/>
      <c r="CJ93" s="125"/>
      <c r="CK93" s="125"/>
      <c r="CL93" s="125"/>
      <c r="CM93" s="125"/>
      <c r="CN93" s="125"/>
      <c r="CO93" s="125"/>
      <c r="CP93" s="125"/>
      <c r="CQ93" s="125"/>
      <c r="CR93" s="125"/>
      <c r="CS93" s="125"/>
      <c r="CT93" s="125"/>
      <c r="CU93" s="125"/>
      <c r="CV93" s="125"/>
      <c r="CW93" s="125"/>
      <c r="CX93" s="125"/>
      <c r="CY93" s="125"/>
      <c r="CZ93" s="125"/>
      <c r="DA93" s="125"/>
      <c r="DB93" s="125"/>
      <c r="DC93" s="125"/>
      <c r="DD93" s="125"/>
      <c r="DE93" s="125"/>
      <c r="DF93" s="125"/>
      <c r="DG93" s="125"/>
      <c r="DH93" s="125"/>
      <c r="DI93" s="125"/>
    </row>
    <row r="94" spans="1:113" ht="12.75">
      <c r="A94" s="125"/>
      <c r="B94" s="125"/>
      <c r="C94" s="125"/>
      <c r="D94" s="125"/>
      <c r="E94" s="125"/>
      <c r="F94" s="125"/>
      <c r="G94" s="125"/>
      <c r="H94" s="125"/>
      <c r="I94" s="125"/>
      <c r="J94" s="125"/>
      <c r="K94" s="125"/>
      <c r="L94" s="125"/>
      <c r="M94" s="125"/>
      <c r="N94" s="125"/>
      <c r="O94" s="125"/>
      <c r="P94" s="125"/>
      <c r="Q94" s="125"/>
      <c r="R94" s="125"/>
      <c r="S94" s="125"/>
      <c r="T94" s="125"/>
      <c r="U94" s="125"/>
      <c r="V94" s="125"/>
      <c r="W94" s="125"/>
      <c r="X94" s="125"/>
      <c r="Y94" s="125"/>
      <c r="Z94" s="125"/>
      <c r="AA94" s="125"/>
      <c r="AB94" s="125"/>
      <c r="AC94" s="125"/>
      <c r="AD94" s="125"/>
      <c r="AE94" s="125"/>
      <c r="AF94" s="125"/>
      <c r="AG94" s="125"/>
      <c r="AH94" s="125"/>
      <c r="AI94" s="125"/>
      <c r="AJ94" s="125"/>
      <c r="AK94" s="125"/>
      <c r="AL94" s="125"/>
      <c r="AM94" s="125"/>
      <c r="AN94" s="125"/>
      <c r="AO94" s="125"/>
      <c r="AP94" s="125"/>
      <c r="AQ94" s="125"/>
      <c r="AR94" s="125"/>
      <c r="AS94" s="125"/>
      <c r="AT94" s="125"/>
      <c r="AU94" s="125"/>
      <c r="AV94" s="125"/>
      <c r="AW94" s="125"/>
      <c r="AX94" s="125"/>
      <c r="AY94" s="125"/>
      <c r="AZ94" s="125"/>
      <c r="BA94" s="125"/>
      <c r="BB94" s="125"/>
      <c r="BC94" s="125"/>
      <c r="BD94" s="125"/>
      <c r="BE94" s="125"/>
      <c r="BF94" s="125"/>
      <c r="BG94" s="125"/>
      <c r="BH94" s="125"/>
      <c r="BI94" s="125"/>
      <c r="BJ94" s="125"/>
      <c r="BK94" s="125"/>
      <c r="BL94" s="125"/>
      <c r="BM94" s="125"/>
      <c r="BN94" s="125"/>
      <c r="BO94" s="125"/>
      <c r="BP94" s="125"/>
      <c r="BQ94" s="125"/>
      <c r="BR94" s="125"/>
      <c r="BS94" s="125"/>
      <c r="BT94" s="125"/>
      <c r="BU94" s="125"/>
      <c r="BV94" s="125"/>
      <c r="BW94" s="125"/>
      <c r="BX94" s="125"/>
      <c r="BY94" s="125"/>
      <c r="BZ94" s="125"/>
      <c r="CA94" s="125"/>
      <c r="CB94" s="125"/>
      <c r="CC94" s="125"/>
      <c r="CD94" s="125"/>
      <c r="CE94" s="125"/>
      <c r="CF94" s="125"/>
      <c r="CG94" s="125"/>
      <c r="CH94" s="125"/>
      <c r="CI94" s="125"/>
      <c r="CJ94" s="125"/>
      <c r="CK94" s="125"/>
      <c r="CL94" s="125"/>
      <c r="CM94" s="125"/>
      <c r="CN94" s="125"/>
      <c r="CO94" s="125"/>
      <c r="CP94" s="125"/>
      <c r="CQ94" s="125"/>
      <c r="CR94" s="125"/>
      <c r="CS94" s="125"/>
      <c r="CT94" s="125"/>
      <c r="CU94" s="125"/>
      <c r="CV94" s="125"/>
      <c r="CW94" s="125"/>
      <c r="CX94" s="125"/>
      <c r="CY94" s="125"/>
      <c r="CZ94" s="125"/>
      <c r="DA94" s="125"/>
      <c r="DB94" s="125"/>
      <c r="DC94" s="125"/>
      <c r="DD94" s="125"/>
      <c r="DE94" s="125"/>
      <c r="DF94" s="125"/>
      <c r="DG94" s="125"/>
      <c r="DH94" s="125"/>
      <c r="DI94" s="125"/>
    </row>
    <row r="95" spans="1:113" ht="12.75">
      <c r="A95" s="125"/>
      <c r="B95" s="125"/>
      <c r="C95" s="125"/>
      <c r="D95" s="125"/>
      <c r="E95" s="125"/>
      <c r="F95" s="125"/>
      <c r="G95" s="125"/>
      <c r="H95" s="125"/>
      <c r="I95" s="125"/>
      <c r="J95" s="125"/>
      <c r="K95" s="125"/>
      <c r="L95" s="125"/>
      <c r="M95" s="125"/>
      <c r="N95" s="125"/>
      <c r="O95" s="125"/>
      <c r="P95" s="125"/>
      <c r="Q95" s="125"/>
      <c r="R95" s="125"/>
      <c r="S95" s="125"/>
      <c r="T95" s="125"/>
      <c r="U95" s="125"/>
      <c r="V95" s="125"/>
      <c r="W95" s="125"/>
      <c r="X95" s="125"/>
      <c r="Y95" s="125"/>
      <c r="Z95" s="125"/>
      <c r="AA95" s="125"/>
      <c r="AB95" s="125"/>
      <c r="AC95" s="125"/>
      <c r="AD95" s="125"/>
      <c r="AE95" s="125"/>
      <c r="AF95" s="125"/>
      <c r="AG95" s="125"/>
      <c r="AH95" s="125"/>
      <c r="AI95" s="125"/>
      <c r="AJ95" s="125"/>
      <c r="AK95" s="125"/>
      <c r="AL95" s="125"/>
      <c r="AM95" s="125"/>
      <c r="AN95" s="125"/>
      <c r="AO95" s="125"/>
      <c r="AP95" s="125"/>
      <c r="AQ95" s="125"/>
      <c r="AR95" s="125"/>
      <c r="AS95" s="125"/>
      <c r="AT95" s="125"/>
      <c r="AU95" s="125"/>
      <c r="AV95" s="125"/>
      <c r="AW95" s="125"/>
      <c r="AX95" s="125"/>
      <c r="AY95" s="125"/>
      <c r="AZ95" s="125"/>
      <c r="BA95" s="125"/>
      <c r="BB95" s="125"/>
      <c r="BC95" s="125"/>
      <c r="BD95" s="125"/>
      <c r="BE95" s="125"/>
      <c r="BF95" s="125"/>
      <c r="BG95" s="125"/>
      <c r="BH95" s="125"/>
      <c r="BI95" s="125"/>
      <c r="BJ95" s="125"/>
      <c r="BK95" s="125"/>
      <c r="BL95" s="125"/>
      <c r="BM95" s="125"/>
      <c r="BN95" s="125"/>
      <c r="BO95" s="125"/>
      <c r="BP95" s="125"/>
      <c r="BQ95" s="125"/>
      <c r="BR95" s="125"/>
      <c r="BS95" s="125"/>
      <c r="BT95" s="125"/>
      <c r="BU95" s="125"/>
      <c r="BV95" s="125"/>
      <c r="BW95" s="125"/>
      <c r="BX95" s="125"/>
      <c r="BY95" s="125"/>
      <c r="BZ95" s="125"/>
      <c r="CA95" s="125"/>
      <c r="CB95" s="125"/>
      <c r="CC95" s="125"/>
      <c r="CD95" s="125"/>
      <c r="CE95" s="125"/>
      <c r="CF95" s="125"/>
      <c r="CG95" s="125"/>
      <c r="CH95" s="125"/>
      <c r="CI95" s="125"/>
      <c r="CJ95" s="125"/>
      <c r="CK95" s="125"/>
      <c r="CL95" s="125"/>
      <c r="CM95" s="125"/>
      <c r="CN95" s="125"/>
      <c r="CO95" s="125"/>
      <c r="CP95" s="125"/>
      <c r="CQ95" s="125"/>
      <c r="CR95" s="125"/>
      <c r="CS95" s="125"/>
      <c r="CT95" s="125"/>
      <c r="CU95" s="125"/>
      <c r="CV95" s="125"/>
      <c r="CW95" s="125"/>
      <c r="CX95" s="125"/>
      <c r="CY95" s="125"/>
      <c r="CZ95" s="125"/>
      <c r="DA95" s="125"/>
      <c r="DB95" s="125"/>
      <c r="DC95" s="125"/>
      <c r="DD95" s="125"/>
      <c r="DE95" s="125"/>
      <c r="DF95" s="125"/>
      <c r="DG95" s="125"/>
      <c r="DH95" s="125"/>
      <c r="DI95" s="125"/>
    </row>
    <row r="96" spans="1:113" ht="12.75">
      <c r="A96" s="125"/>
      <c r="B96" s="125"/>
      <c r="C96" s="125"/>
      <c r="D96" s="125"/>
      <c r="E96" s="125"/>
      <c r="F96" s="125"/>
      <c r="G96" s="125"/>
      <c r="H96" s="125"/>
      <c r="I96" s="125"/>
      <c r="J96" s="125"/>
      <c r="K96" s="125"/>
      <c r="L96" s="125"/>
      <c r="M96" s="125"/>
      <c r="N96" s="125"/>
      <c r="O96" s="125"/>
      <c r="P96" s="125"/>
      <c r="Q96" s="125"/>
      <c r="R96" s="125"/>
      <c r="S96" s="125"/>
      <c r="T96" s="125"/>
      <c r="U96" s="125"/>
      <c r="V96" s="125"/>
      <c r="W96" s="125"/>
      <c r="X96" s="125"/>
      <c r="Y96" s="125"/>
      <c r="Z96" s="125"/>
      <c r="AA96" s="125"/>
      <c r="AB96" s="125"/>
      <c r="AC96" s="125"/>
      <c r="AD96" s="125"/>
      <c r="AE96" s="125"/>
      <c r="AF96" s="125"/>
      <c r="AG96" s="125"/>
      <c r="AH96" s="125"/>
      <c r="AI96" s="125"/>
      <c r="AJ96" s="125"/>
      <c r="AK96" s="125"/>
      <c r="AL96" s="125"/>
      <c r="AM96" s="125"/>
      <c r="AN96" s="125"/>
      <c r="AO96" s="125"/>
      <c r="AP96" s="125"/>
      <c r="AQ96" s="125"/>
      <c r="AR96" s="125"/>
      <c r="AS96" s="125"/>
      <c r="AT96" s="125"/>
      <c r="AU96" s="125"/>
      <c r="AV96" s="125"/>
      <c r="AW96" s="125"/>
      <c r="AX96" s="125"/>
      <c r="AY96" s="125"/>
      <c r="AZ96" s="125"/>
      <c r="BA96" s="125"/>
      <c r="BB96" s="125"/>
      <c r="BC96" s="125"/>
      <c r="BD96" s="125"/>
      <c r="BE96" s="125"/>
      <c r="BF96" s="125"/>
      <c r="BG96" s="125"/>
      <c r="BH96" s="125"/>
      <c r="BI96" s="125"/>
      <c r="BJ96" s="125"/>
      <c r="BK96" s="125"/>
      <c r="BL96" s="125"/>
      <c r="BM96" s="125"/>
      <c r="BN96" s="125"/>
      <c r="BO96" s="125"/>
      <c r="BP96" s="125"/>
      <c r="BQ96" s="125"/>
      <c r="BR96" s="125"/>
      <c r="BS96" s="125"/>
      <c r="BT96" s="125"/>
      <c r="BU96" s="125"/>
      <c r="BV96" s="125"/>
      <c r="BW96" s="125"/>
      <c r="BX96" s="125"/>
      <c r="BY96" s="125"/>
      <c r="BZ96" s="125"/>
      <c r="CA96" s="125"/>
      <c r="CB96" s="125"/>
      <c r="CC96" s="125"/>
      <c r="CD96" s="125"/>
      <c r="CE96" s="125"/>
      <c r="CF96" s="125"/>
      <c r="CG96" s="125"/>
      <c r="CH96" s="125"/>
      <c r="CI96" s="125"/>
      <c r="CJ96" s="125"/>
      <c r="CK96" s="125"/>
      <c r="CL96" s="125"/>
      <c r="CM96" s="125"/>
      <c r="CN96" s="125"/>
      <c r="CO96" s="125"/>
      <c r="CP96" s="125"/>
      <c r="CQ96" s="125"/>
      <c r="CR96" s="125"/>
      <c r="CS96" s="125"/>
      <c r="CT96" s="125"/>
      <c r="CU96" s="125"/>
      <c r="CV96" s="125"/>
      <c r="CW96" s="125"/>
      <c r="CX96" s="125"/>
      <c r="CY96" s="125"/>
      <c r="CZ96" s="125"/>
      <c r="DA96" s="125"/>
      <c r="DB96" s="125"/>
      <c r="DC96" s="125"/>
      <c r="DD96" s="125"/>
      <c r="DE96" s="125"/>
      <c r="DF96" s="125"/>
      <c r="DG96" s="125"/>
      <c r="DH96" s="125"/>
      <c r="DI96" s="125"/>
    </row>
    <row r="97" spans="1:113" ht="12.75">
      <c r="A97" s="125"/>
      <c r="B97" s="125"/>
      <c r="C97" s="125"/>
      <c r="D97" s="125"/>
      <c r="E97" s="125"/>
      <c r="F97" s="125"/>
      <c r="G97" s="125"/>
      <c r="H97" s="125"/>
      <c r="I97" s="125"/>
      <c r="J97" s="125"/>
      <c r="K97" s="125"/>
      <c r="L97" s="125"/>
      <c r="M97" s="125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125"/>
      <c r="Z97" s="125"/>
      <c r="AA97" s="125"/>
      <c r="AB97" s="125"/>
      <c r="AC97" s="125"/>
      <c r="AD97" s="125"/>
      <c r="AE97" s="125"/>
      <c r="AF97" s="125"/>
      <c r="AG97" s="125"/>
      <c r="AH97" s="125"/>
      <c r="AI97" s="125"/>
      <c r="AJ97" s="125"/>
      <c r="AK97" s="125"/>
      <c r="AL97" s="125"/>
      <c r="AM97" s="125"/>
      <c r="AN97" s="125"/>
      <c r="AO97" s="125"/>
      <c r="AP97" s="125"/>
      <c r="AQ97" s="125"/>
      <c r="AR97" s="125"/>
      <c r="AS97" s="125"/>
      <c r="AT97" s="125"/>
      <c r="AU97" s="125"/>
      <c r="AV97" s="125"/>
      <c r="AW97" s="125"/>
      <c r="AX97" s="125"/>
      <c r="AY97" s="125"/>
      <c r="AZ97" s="125"/>
      <c r="BA97" s="125"/>
      <c r="BB97" s="125"/>
      <c r="BC97" s="125"/>
      <c r="BD97" s="125"/>
      <c r="BE97" s="125"/>
      <c r="BF97" s="125"/>
      <c r="BG97" s="125"/>
      <c r="BH97" s="125"/>
      <c r="BI97" s="125"/>
      <c r="BJ97" s="125"/>
      <c r="BK97" s="125"/>
      <c r="BL97" s="125"/>
      <c r="BM97" s="125"/>
      <c r="BN97" s="125"/>
      <c r="BO97" s="125"/>
      <c r="BP97" s="125"/>
      <c r="BQ97" s="125"/>
      <c r="BR97" s="125"/>
      <c r="BS97" s="125"/>
      <c r="BT97" s="125"/>
      <c r="BU97" s="125"/>
      <c r="BV97" s="125"/>
      <c r="BW97" s="125"/>
      <c r="BX97" s="125"/>
      <c r="BY97" s="125"/>
      <c r="BZ97" s="125"/>
      <c r="CA97" s="125"/>
      <c r="CB97" s="125"/>
      <c r="CC97" s="125"/>
      <c r="CD97" s="125"/>
      <c r="CE97" s="125"/>
      <c r="CF97" s="125"/>
      <c r="CG97" s="125"/>
      <c r="CH97" s="125"/>
      <c r="CI97" s="125"/>
      <c r="CJ97" s="125"/>
      <c r="CK97" s="125"/>
      <c r="CL97" s="125"/>
      <c r="CM97" s="125"/>
      <c r="CN97" s="125"/>
      <c r="CO97" s="125"/>
      <c r="CP97" s="125"/>
      <c r="CQ97" s="125"/>
      <c r="CR97" s="125"/>
      <c r="CS97" s="125"/>
      <c r="CT97" s="125"/>
      <c r="CU97" s="125"/>
      <c r="CV97" s="125"/>
      <c r="CW97" s="125"/>
      <c r="CX97" s="125"/>
      <c r="CY97" s="125"/>
      <c r="CZ97" s="125"/>
      <c r="DA97" s="125"/>
      <c r="DB97" s="125"/>
      <c r="DC97" s="125"/>
      <c r="DD97" s="125"/>
      <c r="DE97" s="125"/>
      <c r="DF97" s="125"/>
      <c r="DG97" s="125"/>
      <c r="DH97" s="125"/>
      <c r="DI97" s="125"/>
    </row>
    <row r="98" spans="1:113" ht="12.75">
      <c r="A98" s="125"/>
      <c r="B98" s="125"/>
      <c r="C98" s="125"/>
      <c r="D98" s="125"/>
      <c r="E98" s="125"/>
      <c r="F98" s="125"/>
      <c r="G98" s="125"/>
      <c r="H98" s="125"/>
      <c r="I98" s="125"/>
      <c r="J98" s="125"/>
      <c r="K98" s="125"/>
      <c r="L98" s="125"/>
      <c r="M98" s="125"/>
      <c r="N98" s="125"/>
      <c r="O98" s="125"/>
      <c r="P98" s="125"/>
      <c r="Q98" s="125"/>
      <c r="R98" s="125"/>
      <c r="S98" s="125"/>
      <c r="T98" s="125"/>
      <c r="U98" s="125"/>
      <c r="V98" s="125"/>
      <c r="W98" s="125"/>
      <c r="X98" s="125"/>
      <c r="Y98" s="125"/>
      <c r="Z98" s="125"/>
      <c r="AA98" s="125"/>
      <c r="AB98" s="125"/>
      <c r="AC98" s="125"/>
      <c r="AD98" s="125"/>
      <c r="AE98" s="125"/>
      <c r="AF98" s="125"/>
      <c r="AG98" s="125"/>
      <c r="AH98" s="125"/>
      <c r="AI98" s="125"/>
      <c r="AJ98" s="125"/>
      <c r="AK98" s="125"/>
      <c r="AL98" s="125"/>
      <c r="AM98" s="125"/>
      <c r="AN98" s="125"/>
      <c r="AO98" s="125"/>
      <c r="AP98" s="125"/>
      <c r="AQ98" s="125"/>
      <c r="AR98" s="125"/>
      <c r="AS98" s="125"/>
      <c r="AT98" s="125"/>
      <c r="AU98" s="125"/>
      <c r="AV98" s="125"/>
      <c r="AW98" s="125"/>
      <c r="AX98" s="125"/>
      <c r="AY98" s="125"/>
      <c r="AZ98" s="125"/>
      <c r="BA98" s="125"/>
      <c r="BB98" s="125"/>
      <c r="BC98" s="125"/>
      <c r="BD98" s="125"/>
      <c r="BE98" s="125"/>
      <c r="BF98" s="125"/>
      <c r="BG98" s="125"/>
      <c r="BH98" s="125"/>
      <c r="BI98" s="125"/>
      <c r="BJ98" s="125"/>
      <c r="BK98" s="125"/>
      <c r="BL98" s="125"/>
      <c r="BM98" s="125"/>
      <c r="BN98" s="125"/>
      <c r="BO98" s="125"/>
      <c r="BP98" s="125"/>
      <c r="BQ98" s="125"/>
      <c r="BR98" s="125"/>
      <c r="BS98" s="125"/>
      <c r="BT98" s="125"/>
      <c r="BU98" s="125"/>
      <c r="BV98" s="125"/>
      <c r="BW98" s="125"/>
      <c r="BX98" s="125"/>
      <c r="BY98" s="125"/>
      <c r="BZ98" s="125"/>
      <c r="CA98" s="125"/>
      <c r="CB98" s="125"/>
      <c r="CC98" s="125"/>
      <c r="CD98" s="125"/>
      <c r="CE98" s="125"/>
      <c r="CF98" s="125"/>
      <c r="CG98" s="125"/>
      <c r="CH98" s="125"/>
      <c r="CI98" s="125"/>
      <c r="CJ98" s="125"/>
      <c r="CK98" s="125"/>
      <c r="CL98" s="125"/>
      <c r="CM98" s="125"/>
      <c r="CN98" s="125"/>
      <c r="CO98" s="125"/>
      <c r="CP98" s="125"/>
      <c r="CQ98" s="125"/>
      <c r="CR98" s="125"/>
      <c r="CS98" s="125"/>
      <c r="CT98" s="125"/>
      <c r="CU98" s="125"/>
      <c r="CV98" s="125"/>
      <c r="CW98" s="125"/>
      <c r="CX98" s="125"/>
      <c r="CY98" s="125"/>
      <c r="CZ98" s="125"/>
      <c r="DA98" s="125"/>
      <c r="DB98" s="125"/>
      <c r="DC98" s="125"/>
      <c r="DD98" s="125"/>
      <c r="DE98" s="125"/>
      <c r="DF98" s="125"/>
      <c r="DG98" s="125"/>
      <c r="DH98" s="125"/>
      <c r="DI98" s="125"/>
    </row>
    <row r="99" spans="1:113" ht="12.75">
      <c r="A99" s="125"/>
      <c r="B99" s="125"/>
      <c r="C99" s="125"/>
      <c r="D99" s="125"/>
      <c r="E99" s="125"/>
      <c r="F99" s="125"/>
      <c r="G99" s="125"/>
      <c r="H99" s="125"/>
      <c r="I99" s="125"/>
      <c r="J99" s="125"/>
      <c r="K99" s="125"/>
      <c r="L99" s="125"/>
      <c r="M99" s="125"/>
      <c r="N99" s="125"/>
      <c r="O99" s="125"/>
      <c r="P99" s="125"/>
      <c r="Q99" s="125"/>
      <c r="R99" s="125"/>
      <c r="S99" s="125"/>
      <c r="T99" s="125"/>
      <c r="U99" s="125"/>
      <c r="V99" s="125"/>
      <c r="W99" s="125"/>
      <c r="X99" s="125"/>
      <c r="Y99" s="125"/>
      <c r="Z99" s="125"/>
      <c r="AA99" s="125"/>
      <c r="AB99" s="125"/>
      <c r="AC99" s="125"/>
      <c r="AD99" s="125"/>
      <c r="AE99" s="125"/>
      <c r="AF99" s="125"/>
      <c r="AG99" s="125"/>
      <c r="AH99" s="125"/>
      <c r="AI99" s="125"/>
      <c r="AJ99" s="125"/>
      <c r="AK99" s="125"/>
      <c r="AL99" s="125"/>
      <c r="AM99" s="125"/>
      <c r="AN99" s="125"/>
      <c r="AO99" s="125"/>
      <c r="AP99" s="125"/>
      <c r="AQ99" s="125"/>
      <c r="AR99" s="125"/>
      <c r="AS99" s="125"/>
      <c r="AT99" s="125"/>
      <c r="AU99" s="125"/>
      <c r="AV99" s="125"/>
      <c r="AW99" s="125"/>
      <c r="AX99" s="125"/>
      <c r="AY99" s="125"/>
      <c r="AZ99" s="125"/>
      <c r="BA99" s="125"/>
      <c r="BB99" s="125"/>
      <c r="BC99" s="125"/>
      <c r="BD99" s="125"/>
      <c r="BE99" s="125"/>
      <c r="BF99" s="125"/>
      <c r="BG99" s="125"/>
      <c r="BH99" s="125"/>
      <c r="BI99" s="125"/>
      <c r="BJ99" s="125"/>
      <c r="BK99" s="125"/>
      <c r="BL99" s="125"/>
      <c r="BM99" s="125"/>
      <c r="BN99" s="125"/>
      <c r="BO99" s="125"/>
      <c r="BP99" s="125"/>
      <c r="BQ99" s="125"/>
      <c r="BR99" s="125"/>
      <c r="BS99" s="125"/>
      <c r="BT99" s="125"/>
      <c r="BU99" s="125"/>
      <c r="BV99" s="125"/>
      <c r="BW99" s="125"/>
      <c r="BX99" s="125"/>
      <c r="BY99" s="125"/>
      <c r="BZ99" s="125"/>
      <c r="CA99" s="125"/>
      <c r="CB99" s="125"/>
      <c r="CC99" s="125"/>
      <c r="CD99" s="125"/>
      <c r="CE99" s="125"/>
      <c r="CF99" s="125"/>
      <c r="CG99" s="125"/>
      <c r="CH99" s="125"/>
      <c r="CI99" s="125"/>
      <c r="CJ99" s="125"/>
      <c r="CK99" s="125"/>
      <c r="CL99" s="125"/>
      <c r="CM99" s="125"/>
      <c r="CN99" s="125"/>
      <c r="CO99" s="125"/>
      <c r="CP99" s="125"/>
      <c r="CQ99" s="125"/>
      <c r="CR99" s="125"/>
      <c r="CS99" s="125"/>
      <c r="CT99" s="125"/>
      <c r="CU99" s="125"/>
      <c r="CV99" s="125"/>
      <c r="CW99" s="125"/>
      <c r="CX99" s="125"/>
      <c r="CY99" s="125"/>
      <c r="CZ99" s="125"/>
      <c r="DA99" s="125"/>
      <c r="DB99" s="125"/>
      <c r="DC99" s="125"/>
      <c r="DD99" s="125"/>
      <c r="DE99" s="125"/>
      <c r="DF99" s="125"/>
      <c r="DG99" s="125"/>
      <c r="DH99" s="125"/>
      <c r="DI99" s="125"/>
    </row>
    <row r="100" spans="1:113" ht="12.75">
      <c r="A100" s="125"/>
      <c r="B100" s="125"/>
      <c r="C100" s="125"/>
      <c r="D100" s="125"/>
      <c r="E100" s="125"/>
      <c r="F100" s="125"/>
      <c r="G100" s="125"/>
      <c r="H100" s="125"/>
      <c r="I100" s="125"/>
      <c r="J100" s="125"/>
      <c r="K100" s="125"/>
      <c r="L100" s="125"/>
      <c r="M100" s="125"/>
      <c r="N100" s="125"/>
      <c r="O100" s="125"/>
      <c r="P100" s="125"/>
      <c r="Q100" s="125"/>
      <c r="R100" s="125"/>
      <c r="S100" s="125"/>
      <c r="T100" s="125"/>
      <c r="U100" s="125"/>
      <c r="V100" s="125"/>
      <c r="W100" s="125"/>
      <c r="X100" s="125"/>
      <c r="Y100" s="125"/>
      <c r="Z100" s="125"/>
      <c r="AA100" s="125"/>
      <c r="AB100" s="125"/>
      <c r="AC100" s="125"/>
      <c r="AD100" s="125"/>
      <c r="AE100" s="125"/>
      <c r="AF100" s="125"/>
      <c r="AG100" s="125"/>
      <c r="AH100" s="125"/>
      <c r="AI100" s="125"/>
      <c r="AJ100" s="125"/>
      <c r="AK100" s="125"/>
      <c r="AL100" s="125"/>
      <c r="AM100" s="125"/>
      <c r="AN100" s="125"/>
      <c r="AO100" s="125"/>
      <c r="AP100" s="125"/>
      <c r="AQ100" s="125"/>
      <c r="AR100" s="125"/>
      <c r="AS100" s="125"/>
      <c r="AT100" s="125"/>
      <c r="AU100" s="125"/>
      <c r="AV100" s="125"/>
      <c r="AW100" s="125"/>
      <c r="AX100" s="125"/>
      <c r="AY100" s="125"/>
      <c r="AZ100" s="125"/>
      <c r="BA100" s="125"/>
      <c r="BB100" s="125"/>
      <c r="BC100" s="125"/>
      <c r="BD100" s="125"/>
      <c r="BE100" s="125"/>
      <c r="BF100" s="125"/>
      <c r="BG100" s="125"/>
      <c r="BH100" s="125"/>
      <c r="BI100" s="125"/>
      <c r="BJ100" s="125"/>
      <c r="BK100" s="125"/>
      <c r="BL100" s="125"/>
      <c r="BM100" s="125"/>
      <c r="BN100" s="125"/>
      <c r="BO100" s="125"/>
      <c r="BP100" s="125"/>
      <c r="BQ100" s="125"/>
      <c r="BR100" s="125"/>
      <c r="BS100" s="125"/>
      <c r="BT100" s="125"/>
      <c r="BU100" s="125"/>
      <c r="BV100" s="125"/>
      <c r="BW100" s="125"/>
      <c r="BX100" s="125"/>
      <c r="BY100" s="125"/>
      <c r="BZ100" s="125"/>
      <c r="CA100" s="125"/>
      <c r="CB100" s="125"/>
      <c r="CC100" s="125"/>
      <c r="CD100" s="125"/>
      <c r="CE100" s="125"/>
      <c r="CF100" s="125"/>
      <c r="CG100" s="125"/>
      <c r="CH100" s="125"/>
      <c r="CI100" s="125"/>
      <c r="CJ100" s="125"/>
      <c r="CK100" s="125"/>
      <c r="CL100" s="125"/>
      <c r="CM100" s="125"/>
      <c r="CN100" s="125"/>
      <c r="CO100" s="125"/>
      <c r="CP100" s="125"/>
      <c r="CQ100" s="125"/>
      <c r="CR100" s="125"/>
      <c r="CS100" s="125"/>
      <c r="CT100" s="125"/>
      <c r="CU100" s="125"/>
      <c r="CV100" s="125"/>
      <c r="CW100" s="125"/>
      <c r="CX100" s="125"/>
      <c r="CY100" s="125"/>
      <c r="CZ100" s="125"/>
      <c r="DA100" s="125"/>
      <c r="DB100" s="125"/>
      <c r="DC100" s="125"/>
      <c r="DD100" s="125"/>
      <c r="DE100" s="125"/>
      <c r="DF100" s="125"/>
      <c r="DG100" s="125"/>
      <c r="DH100" s="125"/>
      <c r="DI100" s="125"/>
    </row>
    <row r="101" spans="1:113" ht="12.75">
      <c r="A101" s="125"/>
      <c r="B101" s="125"/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AD101" s="125"/>
      <c r="AE101" s="125"/>
      <c r="AF101" s="125"/>
      <c r="AG101" s="125"/>
      <c r="AH101" s="125"/>
      <c r="AI101" s="125"/>
      <c r="AJ101" s="125"/>
      <c r="AK101" s="125"/>
      <c r="AL101" s="125"/>
      <c r="AM101" s="125"/>
      <c r="AN101" s="125"/>
      <c r="AO101" s="125"/>
      <c r="AP101" s="125"/>
      <c r="AQ101" s="125"/>
      <c r="AR101" s="125"/>
      <c r="AS101" s="125"/>
      <c r="AT101" s="125"/>
      <c r="AU101" s="125"/>
      <c r="AV101" s="125"/>
      <c r="AW101" s="125"/>
      <c r="AX101" s="125"/>
      <c r="AY101" s="125"/>
      <c r="AZ101" s="125"/>
      <c r="BA101" s="125"/>
      <c r="BB101" s="125"/>
      <c r="BC101" s="125"/>
      <c r="BD101" s="125"/>
      <c r="BE101" s="125"/>
      <c r="BF101" s="125"/>
      <c r="BG101" s="125"/>
      <c r="BH101" s="125"/>
      <c r="BI101" s="125"/>
      <c r="BJ101" s="125"/>
      <c r="BK101" s="125"/>
      <c r="BL101" s="125"/>
      <c r="BM101" s="125"/>
      <c r="BN101" s="125"/>
      <c r="BO101" s="125"/>
      <c r="BP101" s="125"/>
      <c r="BQ101" s="125"/>
      <c r="BR101" s="125"/>
      <c r="BS101" s="125"/>
      <c r="BT101" s="125"/>
      <c r="BU101" s="125"/>
      <c r="BV101" s="125"/>
      <c r="BW101" s="125"/>
      <c r="BX101" s="125"/>
      <c r="BY101" s="125"/>
      <c r="BZ101" s="125"/>
      <c r="CA101" s="125"/>
      <c r="CB101" s="125"/>
      <c r="CC101" s="125"/>
      <c r="CD101" s="125"/>
      <c r="CE101" s="125"/>
      <c r="CF101" s="125"/>
      <c r="CG101" s="125"/>
      <c r="CH101" s="125"/>
      <c r="CI101" s="125"/>
      <c r="CJ101" s="125"/>
      <c r="CK101" s="125"/>
      <c r="CL101" s="125"/>
      <c r="CM101" s="125"/>
      <c r="CN101" s="125"/>
      <c r="CO101" s="125"/>
      <c r="CP101" s="125"/>
      <c r="CQ101" s="125"/>
      <c r="CR101" s="125"/>
      <c r="CS101" s="125"/>
      <c r="CT101" s="125"/>
      <c r="CU101" s="125"/>
      <c r="CV101" s="125"/>
      <c r="CW101" s="125"/>
      <c r="CX101" s="125"/>
      <c r="CY101" s="125"/>
      <c r="CZ101" s="125"/>
      <c r="DA101" s="125"/>
      <c r="DB101" s="125"/>
      <c r="DC101" s="125"/>
      <c r="DD101" s="125"/>
      <c r="DE101" s="125"/>
      <c r="DF101" s="125"/>
      <c r="DG101" s="125"/>
      <c r="DH101" s="125"/>
      <c r="DI101" s="125"/>
    </row>
    <row r="102" spans="1:113" ht="12.75">
      <c r="A102" s="125"/>
      <c r="B102" s="125"/>
      <c r="C102" s="125"/>
      <c r="D102" s="125"/>
      <c r="E102" s="125"/>
      <c r="F102" s="125"/>
      <c r="G102" s="125"/>
      <c r="H102" s="125"/>
      <c r="I102" s="125"/>
      <c r="J102" s="125"/>
      <c r="K102" s="125"/>
      <c r="L102" s="125"/>
      <c r="M102" s="125"/>
      <c r="N102" s="125"/>
      <c r="O102" s="125"/>
      <c r="P102" s="125"/>
      <c r="Q102" s="125"/>
      <c r="R102" s="125"/>
      <c r="S102" s="125"/>
      <c r="T102" s="125"/>
      <c r="U102" s="125"/>
      <c r="V102" s="125"/>
      <c r="W102" s="125"/>
      <c r="X102" s="125"/>
      <c r="Y102" s="125"/>
      <c r="Z102" s="125"/>
      <c r="AA102" s="125"/>
      <c r="AB102" s="125"/>
      <c r="AC102" s="125"/>
      <c r="AD102" s="125"/>
      <c r="AE102" s="125"/>
      <c r="AF102" s="125"/>
      <c r="AG102" s="125"/>
      <c r="AH102" s="125"/>
      <c r="AI102" s="125"/>
      <c r="AJ102" s="125"/>
      <c r="AK102" s="125"/>
      <c r="AL102" s="125"/>
      <c r="AM102" s="125"/>
      <c r="AN102" s="125"/>
      <c r="AO102" s="125"/>
      <c r="AP102" s="125"/>
      <c r="AQ102" s="125"/>
      <c r="AR102" s="125"/>
      <c r="AS102" s="125"/>
      <c r="AT102" s="125"/>
      <c r="AU102" s="125"/>
      <c r="AV102" s="125"/>
      <c r="AW102" s="125"/>
      <c r="AX102" s="125"/>
      <c r="AY102" s="125"/>
      <c r="AZ102" s="125"/>
      <c r="BA102" s="125"/>
      <c r="BB102" s="125"/>
      <c r="BC102" s="125"/>
      <c r="BD102" s="125"/>
      <c r="BE102" s="125"/>
      <c r="BF102" s="125"/>
      <c r="BG102" s="125"/>
      <c r="BH102" s="125"/>
      <c r="BI102" s="125"/>
      <c r="BJ102" s="125"/>
      <c r="BK102" s="125"/>
      <c r="BL102" s="125"/>
      <c r="BM102" s="125"/>
      <c r="BN102" s="125"/>
      <c r="BO102" s="125"/>
      <c r="BP102" s="125"/>
      <c r="BQ102" s="125"/>
      <c r="BR102" s="125"/>
      <c r="BS102" s="125"/>
      <c r="BT102" s="125"/>
      <c r="BU102" s="125"/>
      <c r="BV102" s="125"/>
      <c r="BW102" s="125"/>
      <c r="BX102" s="125"/>
      <c r="BY102" s="125"/>
      <c r="BZ102" s="125"/>
      <c r="CA102" s="125"/>
      <c r="CB102" s="125"/>
      <c r="CC102" s="125"/>
      <c r="CD102" s="125"/>
      <c r="CE102" s="125"/>
      <c r="CF102" s="125"/>
      <c r="CG102" s="125"/>
      <c r="CH102" s="125"/>
      <c r="CI102" s="125"/>
      <c r="CJ102" s="125"/>
      <c r="CK102" s="125"/>
      <c r="CL102" s="125"/>
      <c r="CM102" s="125"/>
      <c r="CN102" s="125"/>
      <c r="CO102" s="125"/>
      <c r="CP102" s="125"/>
      <c r="CQ102" s="125"/>
      <c r="CR102" s="125"/>
      <c r="CS102" s="125"/>
      <c r="CT102" s="125"/>
      <c r="CU102" s="125"/>
      <c r="CV102" s="125"/>
      <c r="CW102" s="125"/>
      <c r="CX102" s="125"/>
      <c r="CY102" s="125"/>
      <c r="CZ102" s="125"/>
      <c r="DA102" s="125"/>
      <c r="DB102" s="125"/>
      <c r="DC102" s="125"/>
      <c r="DD102" s="125"/>
      <c r="DE102" s="125"/>
      <c r="DF102" s="125"/>
      <c r="DG102" s="125"/>
      <c r="DH102" s="125"/>
      <c r="DI102" s="125"/>
    </row>
    <row r="103" spans="1:113" ht="12.75">
      <c r="A103" s="125"/>
      <c r="B103" s="125"/>
      <c r="C103" s="125"/>
      <c r="D103" s="125"/>
      <c r="E103" s="125"/>
      <c r="F103" s="125"/>
      <c r="G103" s="125"/>
      <c r="H103" s="125"/>
      <c r="I103" s="125"/>
      <c r="J103" s="125"/>
      <c r="K103" s="125"/>
      <c r="L103" s="125"/>
      <c r="M103" s="125"/>
      <c r="N103" s="125"/>
      <c r="O103" s="125"/>
      <c r="P103" s="125"/>
      <c r="Q103" s="125"/>
      <c r="R103" s="125"/>
      <c r="S103" s="125"/>
      <c r="T103" s="125"/>
      <c r="U103" s="125"/>
      <c r="V103" s="125"/>
      <c r="W103" s="125"/>
      <c r="X103" s="125"/>
      <c r="Y103" s="125"/>
      <c r="Z103" s="125"/>
      <c r="AA103" s="125"/>
      <c r="AB103" s="125"/>
      <c r="AC103" s="125"/>
      <c r="AD103" s="125"/>
      <c r="AE103" s="125"/>
      <c r="AF103" s="125"/>
      <c r="AG103" s="125"/>
      <c r="AH103" s="125"/>
      <c r="AI103" s="125"/>
      <c r="AJ103" s="125"/>
      <c r="AK103" s="125"/>
      <c r="AL103" s="125"/>
      <c r="AM103" s="125"/>
      <c r="AN103" s="125"/>
      <c r="AO103" s="125"/>
      <c r="AP103" s="125"/>
      <c r="AQ103" s="125"/>
      <c r="AR103" s="125"/>
      <c r="AS103" s="125"/>
      <c r="AT103" s="125"/>
      <c r="AU103" s="125"/>
      <c r="AV103" s="125"/>
      <c r="AW103" s="125"/>
      <c r="AX103" s="125"/>
      <c r="AY103" s="125"/>
      <c r="AZ103" s="125"/>
      <c r="BA103" s="125"/>
      <c r="BB103" s="125"/>
      <c r="BC103" s="125"/>
      <c r="BD103" s="125"/>
      <c r="BE103" s="125"/>
      <c r="BF103" s="125"/>
      <c r="BG103" s="125"/>
      <c r="BH103" s="125"/>
      <c r="BI103" s="125"/>
      <c r="BJ103" s="125"/>
      <c r="BK103" s="125"/>
      <c r="BL103" s="125"/>
      <c r="BM103" s="125"/>
      <c r="BN103" s="125"/>
      <c r="BO103" s="125"/>
      <c r="BP103" s="125"/>
      <c r="BQ103" s="125"/>
      <c r="BR103" s="125"/>
      <c r="BS103" s="125"/>
      <c r="BT103" s="125"/>
      <c r="BU103" s="125"/>
      <c r="BV103" s="125"/>
      <c r="BW103" s="125"/>
      <c r="BX103" s="125"/>
      <c r="BY103" s="125"/>
      <c r="BZ103" s="125"/>
      <c r="CA103" s="125"/>
      <c r="CB103" s="125"/>
      <c r="CC103" s="125"/>
      <c r="CD103" s="125"/>
      <c r="CE103" s="125"/>
      <c r="CF103" s="125"/>
      <c r="CG103" s="125"/>
      <c r="CH103" s="125"/>
      <c r="CI103" s="125"/>
      <c r="CJ103" s="125"/>
      <c r="CK103" s="125"/>
      <c r="CL103" s="125"/>
      <c r="CM103" s="125"/>
      <c r="CN103" s="125"/>
      <c r="CO103" s="125"/>
      <c r="CP103" s="125"/>
      <c r="CQ103" s="125"/>
      <c r="CR103" s="125"/>
      <c r="CS103" s="125"/>
      <c r="CT103" s="125"/>
      <c r="CU103" s="125"/>
      <c r="CV103" s="125"/>
      <c r="CW103" s="125"/>
      <c r="CX103" s="125"/>
      <c r="CY103" s="125"/>
      <c r="CZ103" s="125"/>
      <c r="DA103" s="125"/>
      <c r="DB103" s="125"/>
      <c r="DC103" s="125"/>
      <c r="DD103" s="125"/>
      <c r="DE103" s="125"/>
      <c r="DF103" s="125"/>
      <c r="DG103" s="125"/>
      <c r="DH103" s="125"/>
      <c r="DI103" s="125"/>
    </row>
    <row r="104" spans="1:113" ht="12.75">
      <c r="A104" s="125"/>
      <c r="B104" s="125"/>
      <c r="C104" s="125"/>
      <c r="D104" s="125"/>
      <c r="E104" s="125"/>
      <c r="F104" s="125"/>
      <c r="G104" s="125"/>
      <c r="H104" s="125"/>
      <c r="I104" s="125"/>
      <c r="J104" s="125"/>
      <c r="K104" s="125"/>
      <c r="L104" s="125"/>
      <c r="M104" s="125"/>
      <c r="N104" s="125"/>
      <c r="O104" s="125"/>
      <c r="P104" s="125"/>
      <c r="Q104" s="125"/>
      <c r="R104" s="125"/>
      <c r="S104" s="125"/>
      <c r="T104" s="125"/>
      <c r="U104" s="125"/>
      <c r="V104" s="125"/>
      <c r="W104" s="125"/>
      <c r="X104" s="125"/>
      <c r="Y104" s="125"/>
      <c r="Z104" s="125"/>
      <c r="AA104" s="125"/>
      <c r="AB104" s="125"/>
      <c r="AC104" s="125"/>
      <c r="AD104" s="125"/>
      <c r="AE104" s="125"/>
      <c r="AF104" s="125"/>
      <c r="AG104" s="125"/>
      <c r="AH104" s="125"/>
      <c r="AI104" s="125"/>
      <c r="AJ104" s="125"/>
      <c r="AK104" s="125"/>
      <c r="AL104" s="125"/>
      <c r="AM104" s="125"/>
      <c r="AN104" s="125"/>
      <c r="AO104" s="125"/>
      <c r="AP104" s="125"/>
      <c r="AQ104" s="125"/>
      <c r="AR104" s="125"/>
      <c r="AS104" s="125"/>
      <c r="AT104" s="125"/>
      <c r="AU104" s="125"/>
      <c r="AV104" s="125"/>
      <c r="AW104" s="125"/>
      <c r="AX104" s="125"/>
      <c r="AY104" s="125"/>
      <c r="AZ104" s="125"/>
      <c r="BA104" s="125"/>
      <c r="BB104" s="125"/>
      <c r="BC104" s="125"/>
      <c r="BD104" s="125"/>
      <c r="BE104" s="125"/>
      <c r="BF104" s="125"/>
      <c r="BG104" s="125"/>
      <c r="BH104" s="125"/>
      <c r="BI104" s="125"/>
      <c r="BJ104" s="125"/>
      <c r="BK104" s="125"/>
      <c r="BL104" s="125"/>
      <c r="BM104" s="125"/>
      <c r="BN104" s="125"/>
      <c r="BO104" s="125"/>
      <c r="BP104" s="125"/>
      <c r="BQ104" s="125"/>
      <c r="BR104" s="125"/>
      <c r="BS104" s="125"/>
      <c r="BT104" s="125"/>
      <c r="BU104" s="125"/>
      <c r="BV104" s="125"/>
      <c r="BW104" s="125"/>
      <c r="BX104" s="125"/>
      <c r="BY104" s="125"/>
      <c r="BZ104" s="125"/>
      <c r="CA104" s="125"/>
      <c r="CB104" s="125"/>
      <c r="CC104" s="125"/>
      <c r="CD104" s="125"/>
      <c r="CE104" s="125"/>
      <c r="CF104" s="125"/>
      <c r="CG104" s="125"/>
      <c r="CH104" s="125"/>
      <c r="CI104" s="125"/>
      <c r="CJ104" s="125"/>
      <c r="CK104" s="125"/>
      <c r="CL104" s="125"/>
      <c r="CM104" s="125"/>
      <c r="CN104" s="125"/>
      <c r="CO104" s="125"/>
      <c r="CP104" s="125"/>
      <c r="CQ104" s="125"/>
      <c r="CR104" s="125"/>
      <c r="CS104" s="125"/>
      <c r="CT104" s="125"/>
      <c r="CU104" s="125"/>
      <c r="CV104" s="125"/>
      <c r="CW104" s="125"/>
      <c r="CX104" s="125"/>
      <c r="CY104" s="125"/>
      <c r="CZ104" s="125"/>
      <c r="DA104" s="125"/>
      <c r="DB104" s="125"/>
      <c r="DC104" s="125"/>
      <c r="DD104" s="125"/>
      <c r="DE104" s="125"/>
      <c r="DF104" s="125"/>
      <c r="DG104" s="125"/>
      <c r="DH104" s="125"/>
      <c r="DI104" s="125"/>
    </row>
    <row r="105" spans="1:113" ht="12.75">
      <c r="A105" s="125"/>
      <c r="B105" s="125"/>
      <c r="C105" s="125"/>
      <c r="D105" s="125"/>
      <c r="E105" s="125"/>
      <c r="F105" s="125"/>
      <c r="G105" s="125"/>
      <c r="H105" s="125"/>
      <c r="I105" s="125"/>
      <c r="J105" s="125"/>
      <c r="K105" s="125"/>
      <c r="L105" s="125"/>
      <c r="M105" s="125"/>
      <c r="N105" s="125"/>
      <c r="O105" s="125"/>
      <c r="P105" s="125"/>
      <c r="Q105" s="125"/>
      <c r="R105" s="125"/>
      <c r="S105" s="125"/>
      <c r="T105" s="125"/>
      <c r="U105" s="125"/>
      <c r="V105" s="125"/>
      <c r="W105" s="125"/>
      <c r="X105" s="125"/>
      <c r="Y105" s="125"/>
      <c r="Z105" s="125"/>
      <c r="AA105" s="125"/>
      <c r="AB105" s="125"/>
      <c r="AC105" s="125"/>
      <c r="AD105" s="125"/>
      <c r="AE105" s="125"/>
      <c r="AF105" s="125"/>
      <c r="AG105" s="125"/>
      <c r="AH105" s="125"/>
      <c r="AI105" s="125"/>
      <c r="AJ105" s="125"/>
      <c r="AK105" s="125"/>
      <c r="AL105" s="125"/>
      <c r="AM105" s="125"/>
      <c r="AN105" s="125"/>
      <c r="AO105" s="125"/>
      <c r="AP105" s="125"/>
      <c r="AQ105" s="125"/>
      <c r="AR105" s="125"/>
      <c r="AS105" s="125"/>
      <c r="AT105" s="125"/>
      <c r="AU105" s="125"/>
      <c r="AV105" s="125"/>
      <c r="AW105" s="125"/>
      <c r="AX105" s="125"/>
      <c r="AY105" s="125"/>
      <c r="AZ105" s="125"/>
      <c r="BA105" s="125"/>
      <c r="BB105" s="125"/>
      <c r="BC105" s="125"/>
      <c r="BD105" s="125"/>
      <c r="BE105" s="125"/>
      <c r="BF105" s="125"/>
      <c r="BG105" s="125"/>
      <c r="BH105" s="125"/>
      <c r="BI105" s="125"/>
      <c r="BJ105" s="125"/>
      <c r="BK105" s="125"/>
      <c r="BL105" s="125"/>
      <c r="BM105" s="125"/>
      <c r="BN105" s="125"/>
      <c r="BO105" s="125"/>
      <c r="BP105" s="125"/>
      <c r="BQ105" s="125"/>
      <c r="BR105" s="125"/>
      <c r="BS105" s="125"/>
      <c r="BT105" s="125"/>
      <c r="BU105" s="125"/>
      <c r="BV105" s="125"/>
      <c r="BW105" s="125"/>
      <c r="BX105" s="125"/>
      <c r="BY105" s="125"/>
      <c r="BZ105" s="125"/>
      <c r="CA105" s="125"/>
      <c r="CB105" s="125"/>
      <c r="CC105" s="125"/>
      <c r="CD105" s="125"/>
      <c r="CE105" s="125"/>
      <c r="CF105" s="125"/>
      <c r="CG105" s="125"/>
      <c r="CH105" s="125"/>
      <c r="CI105" s="125"/>
      <c r="CJ105" s="125"/>
      <c r="CK105" s="125"/>
      <c r="CL105" s="125"/>
      <c r="CM105" s="125"/>
      <c r="CN105" s="125"/>
      <c r="CO105" s="125"/>
      <c r="CP105" s="125"/>
      <c r="CQ105" s="125"/>
      <c r="CR105" s="125"/>
      <c r="CS105" s="125"/>
      <c r="CT105" s="125"/>
      <c r="CU105" s="125"/>
      <c r="CV105" s="125"/>
      <c r="CW105" s="125"/>
      <c r="CX105" s="125"/>
      <c r="CY105" s="125"/>
      <c r="CZ105" s="125"/>
      <c r="DA105" s="125"/>
      <c r="DB105" s="125"/>
      <c r="DC105" s="125"/>
      <c r="DD105" s="125"/>
      <c r="DE105" s="125"/>
      <c r="DF105" s="125"/>
      <c r="DG105" s="125"/>
      <c r="DH105" s="125"/>
      <c r="DI105" s="125"/>
    </row>
    <row r="106" spans="1:113" ht="12.75">
      <c r="A106" s="125"/>
      <c r="B106" s="125"/>
      <c r="C106" s="125"/>
      <c r="D106" s="125"/>
      <c r="E106" s="125"/>
      <c r="F106" s="125"/>
      <c r="G106" s="125"/>
      <c r="H106" s="125"/>
      <c r="I106" s="125"/>
      <c r="J106" s="125"/>
      <c r="K106" s="125"/>
      <c r="L106" s="125"/>
      <c r="M106" s="125"/>
      <c r="N106" s="125"/>
      <c r="O106" s="125"/>
      <c r="P106" s="125"/>
      <c r="Q106" s="125"/>
      <c r="R106" s="125"/>
      <c r="S106" s="125"/>
      <c r="T106" s="125"/>
      <c r="U106" s="125"/>
      <c r="V106" s="125"/>
      <c r="W106" s="125"/>
      <c r="X106" s="125"/>
      <c r="Y106" s="125"/>
      <c r="Z106" s="125"/>
      <c r="AA106" s="125"/>
      <c r="AB106" s="125"/>
      <c r="AC106" s="125"/>
      <c r="AD106" s="125"/>
      <c r="AE106" s="125"/>
      <c r="AF106" s="125"/>
      <c r="AG106" s="125"/>
      <c r="AH106" s="125"/>
      <c r="AI106" s="125"/>
      <c r="AJ106" s="125"/>
      <c r="AK106" s="125"/>
      <c r="AL106" s="125"/>
      <c r="AM106" s="125"/>
      <c r="AN106" s="125"/>
      <c r="AO106" s="125"/>
      <c r="AP106" s="125"/>
      <c r="AQ106" s="125"/>
      <c r="AR106" s="125"/>
      <c r="AS106" s="125"/>
      <c r="AT106" s="125"/>
      <c r="AU106" s="125"/>
      <c r="AV106" s="125"/>
      <c r="AW106" s="125"/>
      <c r="AX106" s="125"/>
      <c r="AY106" s="125"/>
      <c r="AZ106" s="125"/>
      <c r="BA106" s="125"/>
      <c r="BB106" s="125"/>
      <c r="BC106" s="125"/>
      <c r="BD106" s="125"/>
      <c r="BE106" s="125"/>
      <c r="BF106" s="125"/>
      <c r="BG106" s="125"/>
      <c r="BH106" s="125"/>
      <c r="BI106" s="125"/>
      <c r="BJ106" s="125"/>
      <c r="BK106" s="125"/>
      <c r="BL106" s="125"/>
      <c r="BM106" s="125"/>
      <c r="BN106" s="125"/>
      <c r="BO106" s="125"/>
      <c r="BP106" s="125"/>
      <c r="BQ106" s="125"/>
      <c r="BR106" s="125"/>
      <c r="BS106" s="125"/>
      <c r="BT106" s="125"/>
      <c r="BU106" s="125"/>
      <c r="BV106" s="125"/>
      <c r="BW106" s="125"/>
      <c r="BX106" s="125"/>
      <c r="BY106" s="125"/>
      <c r="BZ106" s="125"/>
      <c r="CA106" s="125"/>
      <c r="CB106" s="125"/>
      <c r="CC106" s="125"/>
      <c r="CD106" s="125"/>
      <c r="CE106" s="125"/>
      <c r="CF106" s="125"/>
      <c r="CG106" s="125"/>
      <c r="CH106" s="125"/>
      <c r="CI106" s="125"/>
      <c r="CJ106" s="125"/>
      <c r="CK106" s="125"/>
      <c r="CL106" s="125"/>
      <c r="CM106" s="125"/>
      <c r="CN106" s="125"/>
      <c r="CO106" s="125"/>
      <c r="CP106" s="125"/>
      <c r="CQ106" s="125"/>
      <c r="CR106" s="125"/>
      <c r="CS106" s="125"/>
      <c r="CT106" s="125"/>
      <c r="CU106" s="125"/>
      <c r="CV106" s="125"/>
      <c r="CW106" s="125"/>
      <c r="CX106" s="125"/>
      <c r="CY106" s="125"/>
      <c r="CZ106" s="125"/>
      <c r="DA106" s="125"/>
      <c r="DB106" s="125"/>
      <c r="DC106" s="125"/>
      <c r="DD106" s="125"/>
      <c r="DE106" s="125"/>
      <c r="DF106" s="125"/>
      <c r="DG106" s="125"/>
      <c r="DH106" s="125"/>
      <c r="DI106" s="125"/>
    </row>
    <row r="107" spans="1:113" ht="12.75">
      <c r="A107" s="125"/>
      <c r="B107" s="125"/>
      <c r="C107" s="125"/>
      <c r="D107" s="125"/>
      <c r="E107" s="125"/>
      <c r="F107" s="125"/>
      <c r="G107" s="125"/>
      <c r="H107" s="125"/>
      <c r="I107" s="125"/>
      <c r="J107" s="125"/>
      <c r="K107" s="125"/>
      <c r="L107" s="125"/>
      <c r="M107" s="125"/>
      <c r="N107" s="125"/>
      <c r="O107" s="125"/>
      <c r="P107" s="125"/>
      <c r="Q107" s="125"/>
      <c r="R107" s="125"/>
      <c r="S107" s="125"/>
      <c r="T107" s="125"/>
      <c r="U107" s="125"/>
      <c r="V107" s="125"/>
      <c r="W107" s="125"/>
      <c r="X107" s="125"/>
      <c r="Y107" s="125"/>
      <c r="Z107" s="125"/>
      <c r="AA107" s="125"/>
      <c r="AB107" s="125"/>
      <c r="AC107" s="125"/>
      <c r="AD107" s="125"/>
      <c r="AE107" s="125"/>
      <c r="AF107" s="125"/>
      <c r="AG107" s="125"/>
      <c r="AH107" s="125"/>
      <c r="AI107" s="125"/>
      <c r="AJ107" s="125"/>
      <c r="AK107" s="125"/>
      <c r="AL107" s="125"/>
      <c r="AM107" s="125"/>
      <c r="AN107" s="125"/>
      <c r="AO107" s="125"/>
      <c r="AP107" s="125"/>
      <c r="AQ107" s="125"/>
      <c r="AR107" s="125"/>
      <c r="AS107" s="125"/>
      <c r="AT107" s="125"/>
      <c r="AU107" s="125"/>
      <c r="AV107" s="125"/>
      <c r="AW107" s="125"/>
      <c r="AX107" s="125"/>
      <c r="AY107" s="125"/>
      <c r="AZ107" s="125"/>
      <c r="BA107" s="125"/>
      <c r="BB107" s="125"/>
      <c r="BC107" s="125"/>
      <c r="BD107" s="125"/>
      <c r="BE107" s="125"/>
      <c r="BF107" s="125"/>
      <c r="BG107" s="125"/>
      <c r="BH107" s="125"/>
      <c r="BI107" s="125"/>
      <c r="BJ107" s="125"/>
      <c r="BK107" s="125"/>
      <c r="BL107" s="125"/>
      <c r="BM107" s="125"/>
      <c r="BN107" s="125"/>
      <c r="BO107" s="125"/>
      <c r="BP107" s="125"/>
      <c r="BQ107" s="125"/>
      <c r="BR107" s="125"/>
      <c r="BS107" s="125"/>
      <c r="BT107" s="125"/>
      <c r="BU107" s="125"/>
    </row>
    <row r="108" spans="1:113" ht="12.75">
      <c r="A108" s="125"/>
      <c r="B108" s="125"/>
      <c r="C108" s="125"/>
      <c r="D108" s="125"/>
      <c r="E108" s="125"/>
      <c r="F108" s="125"/>
      <c r="G108" s="125"/>
      <c r="H108" s="125"/>
      <c r="I108" s="125"/>
      <c r="J108" s="125"/>
      <c r="K108" s="125"/>
      <c r="L108" s="125"/>
      <c r="M108" s="125"/>
      <c r="N108" s="125"/>
      <c r="O108" s="125"/>
      <c r="P108" s="125"/>
      <c r="Q108" s="125"/>
      <c r="R108" s="125"/>
      <c r="S108" s="125"/>
      <c r="T108" s="125"/>
      <c r="U108" s="125"/>
      <c r="V108" s="125"/>
      <c r="W108" s="125"/>
      <c r="X108" s="125"/>
      <c r="Y108" s="125"/>
      <c r="Z108" s="125"/>
      <c r="AA108" s="125"/>
      <c r="AB108" s="125"/>
      <c r="AC108" s="125"/>
      <c r="AD108" s="125"/>
      <c r="AE108" s="125"/>
      <c r="AF108" s="125"/>
      <c r="AG108" s="125"/>
      <c r="AH108" s="125"/>
      <c r="AI108" s="125"/>
      <c r="AJ108" s="125"/>
      <c r="AK108" s="125"/>
      <c r="AL108" s="125"/>
      <c r="AM108" s="125"/>
      <c r="AN108" s="125"/>
      <c r="AO108" s="125"/>
      <c r="AP108" s="125"/>
      <c r="AQ108" s="125"/>
      <c r="AR108" s="125"/>
      <c r="AS108" s="125"/>
      <c r="AT108" s="125"/>
      <c r="AU108" s="125"/>
      <c r="AV108" s="125"/>
      <c r="AW108" s="125"/>
      <c r="AX108" s="125"/>
      <c r="AY108" s="125"/>
      <c r="AZ108" s="125"/>
      <c r="BA108" s="125"/>
      <c r="BB108" s="125"/>
      <c r="BC108" s="125"/>
      <c r="BD108" s="125"/>
      <c r="BE108" s="125"/>
      <c r="BF108" s="125"/>
      <c r="BG108" s="125"/>
      <c r="BH108" s="125"/>
      <c r="BI108" s="125"/>
      <c r="BJ108" s="125"/>
      <c r="BK108" s="125"/>
      <c r="BL108" s="125"/>
      <c r="BM108" s="125"/>
      <c r="BN108" s="125"/>
      <c r="BO108" s="125"/>
      <c r="BP108" s="125"/>
      <c r="BQ108" s="125"/>
      <c r="BR108" s="125"/>
      <c r="BS108" s="125"/>
      <c r="BT108" s="125"/>
      <c r="BU108" s="125"/>
    </row>
    <row r="109" spans="1:113" ht="12.75">
      <c r="A109" s="125"/>
      <c r="B109" s="125"/>
      <c r="C109" s="125"/>
      <c r="D109" s="125"/>
      <c r="E109" s="125"/>
      <c r="F109" s="125"/>
      <c r="G109" s="125"/>
      <c r="H109" s="125"/>
      <c r="I109" s="125"/>
      <c r="J109" s="125"/>
      <c r="K109" s="125"/>
      <c r="L109" s="125"/>
      <c r="M109" s="125"/>
      <c r="N109" s="125"/>
      <c r="O109" s="125"/>
      <c r="P109" s="125"/>
      <c r="Q109" s="125"/>
      <c r="R109" s="125"/>
      <c r="S109" s="125"/>
      <c r="T109" s="125"/>
      <c r="U109" s="125"/>
      <c r="V109" s="125"/>
      <c r="W109" s="125"/>
      <c r="X109" s="125"/>
      <c r="Y109" s="125"/>
      <c r="Z109" s="125"/>
      <c r="AA109" s="125"/>
      <c r="AB109" s="125"/>
      <c r="AC109" s="125"/>
      <c r="AD109" s="125"/>
      <c r="AE109" s="125"/>
      <c r="AF109" s="125"/>
      <c r="AG109" s="125"/>
      <c r="AH109" s="125"/>
      <c r="AI109" s="125"/>
      <c r="AJ109" s="125"/>
      <c r="AK109" s="125"/>
      <c r="AL109" s="125"/>
      <c r="AM109" s="125"/>
      <c r="AN109" s="125"/>
      <c r="AO109" s="125"/>
      <c r="AP109" s="125"/>
      <c r="AQ109" s="125"/>
      <c r="AR109" s="125"/>
      <c r="AS109" s="125"/>
      <c r="AT109" s="125"/>
      <c r="AU109" s="125"/>
      <c r="AV109" s="125"/>
      <c r="AW109" s="125"/>
      <c r="AX109" s="125"/>
      <c r="AY109" s="125"/>
      <c r="AZ109" s="125"/>
      <c r="BA109" s="125"/>
      <c r="BB109" s="125"/>
      <c r="BC109" s="125"/>
      <c r="BD109" s="125"/>
      <c r="BE109" s="125"/>
      <c r="BF109" s="125"/>
      <c r="BG109" s="125"/>
      <c r="BH109" s="125"/>
      <c r="BI109" s="125"/>
      <c r="BJ109" s="125"/>
      <c r="BK109" s="125"/>
      <c r="BL109" s="125"/>
      <c r="BM109" s="125"/>
      <c r="BN109" s="125"/>
      <c r="BO109" s="125"/>
      <c r="BP109" s="125"/>
      <c r="BQ109" s="125"/>
      <c r="BR109" s="125"/>
      <c r="BS109" s="125"/>
      <c r="BT109" s="125"/>
      <c r="BU109" s="125"/>
    </row>
    <row r="110" spans="1:113" ht="12.75">
      <c r="A110" s="125"/>
      <c r="B110" s="125"/>
      <c r="C110" s="125"/>
      <c r="D110" s="125"/>
      <c r="E110" s="125"/>
      <c r="F110" s="125"/>
      <c r="G110" s="125"/>
      <c r="H110" s="125"/>
      <c r="I110" s="125"/>
      <c r="J110" s="125"/>
      <c r="K110" s="125"/>
      <c r="L110" s="125"/>
      <c r="M110" s="125"/>
      <c r="N110" s="125"/>
      <c r="O110" s="125"/>
      <c r="P110" s="125"/>
      <c r="Q110" s="125"/>
      <c r="R110" s="125"/>
      <c r="S110" s="125"/>
      <c r="T110" s="125"/>
      <c r="U110" s="125"/>
      <c r="V110" s="125"/>
      <c r="W110" s="125"/>
      <c r="X110" s="125"/>
      <c r="Y110" s="125"/>
      <c r="Z110" s="125"/>
      <c r="AA110" s="125"/>
      <c r="AB110" s="125"/>
      <c r="AC110" s="125"/>
      <c r="AD110" s="125"/>
      <c r="AE110" s="125"/>
      <c r="AF110" s="125"/>
      <c r="AG110" s="125"/>
      <c r="AH110" s="125"/>
      <c r="AI110" s="125"/>
      <c r="AJ110" s="125"/>
      <c r="AK110" s="125"/>
      <c r="AL110" s="125"/>
      <c r="AM110" s="125"/>
      <c r="AN110" s="125"/>
      <c r="AO110" s="125"/>
      <c r="AP110" s="125"/>
      <c r="AQ110" s="125"/>
      <c r="AR110" s="125"/>
      <c r="AS110" s="125"/>
      <c r="AT110" s="125"/>
      <c r="AU110" s="125"/>
      <c r="AV110" s="125"/>
      <c r="AW110" s="125"/>
      <c r="AX110" s="125"/>
      <c r="AY110" s="125"/>
      <c r="AZ110" s="125"/>
      <c r="BA110" s="125"/>
      <c r="BB110" s="125"/>
      <c r="BC110" s="125"/>
      <c r="BD110" s="125"/>
      <c r="BE110" s="125"/>
      <c r="BF110" s="125"/>
      <c r="BG110" s="125"/>
      <c r="BH110" s="125"/>
      <c r="BI110" s="125"/>
      <c r="BJ110" s="125"/>
      <c r="BK110" s="125"/>
      <c r="BL110" s="125"/>
      <c r="BM110" s="125"/>
      <c r="BN110" s="125"/>
      <c r="BO110" s="125"/>
      <c r="BP110" s="125"/>
      <c r="BQ110" s="125"/>
      <c r="BR110" s="125"/>
      <c r="BS110" s="125"/>
      <c r="BT110" s="125"/>
      <c r="BU110" s="125"/>
    </row>
    <row r="111" spans="1:113" ht="12.75">
      <c r="A111" s="125"/>
      <c r="B111" s="125"/>
      <c r="C111" s="125"/>
      <c r="D111" s="125"/>
      <c r="E111" s="125"/>
      <c r="F111" s="125"/>
      <c r="G111" s="125"/>
      <c r="H111" s="125"/>
      <c r="I111" s="125"/>
      <c r="J111" s="125"/>
      <c r="K111" s="125"/>
      <c r="L111" s="125"/>
      <c r="M111" s="125"/>
      <c r="N111" s="125"/>
      <c r="O111" s="125"/>
      <c r="P111" s="125"/>
      <c r="Q111" s="125"/>
      <c r="R111" s="125"/>
      <c r="S111" s="125"/>
      <c r="T111" s="125"/>
      <c r="U111" s="125"/>
      <c r="V111" s="125"/>
      <c r="W111" s="125"/>
      <c r="X111" s="125"/>
      <c r="Y111" s="125"/>
      <c r="Z111" s="125"/>
      <c r="AA111" s="125"/>
      <c r="AB111" s="125"/>
      <c r="AC111" s="125"/>
      <c r="AD111" s="125"/>
      <c r="AE111" s="125"/>
      <c r="AF111" s="125"/>
      <c r="AG111" s="125"/>
      <c r="AH111" s="125"/>
      <c r="AI111" s="125"/>
      <c r="AJ111" s="125"/>
      <c r="AK111" s="125"/>
      <c r="AL111" s="125"/>
      <c r="AM111" s="125"/>
      <c r="AN111" s="125"/>
      <c r="AO111" s="125"/>
      <c r="AP111" s="125"/>
      <c r="AQ111" s="125"/>
      <c r="AR111" s="125"/>
      <c r="AS111" s="125"/>
      <c r="AT111" s="125"/>
      <c r="AU111" s="125"/>
      <c r="AV111" s="125"/>
      <c r="AW111" s="125"/>
      <c r="AX111" s="125"/>
      <c r="AY111" s="125"/>
      <c r="AZ111" s="125"/>
      <c r="BA111" s="125"/>
      <c r="BB111" s="125"/>
      <c r="BC111" s="125"/>
      <c r="BD111" s="125"/>
      <c r="BE111" s="125"/>
      <c r="BF111" s="125"/>
      <c r="BG111" s="125"/>
      <c r="BH111" s="125"/>
      <c r="BI111" s="125"/>
      <c r="BJ111" s="125"/>
      <c r="BK111" s="125"/>
      <c r="BL111" s="125"/>
      <c r="BM111" s="125"/>
      <c r="BN111" s="125"/>
      <c r="BO111" s="125"/>
      <c r="BP111" s="125"/>
      <c r="BQ111" s="125"/>
      <c r="BR111" s="125"/>
      <c r="BS111" s="125"/>
      <c r="BT111" s="125"/>
      <c r="BU111" s="125"/>
    </row>
    <row r="112" spans="1:113" ht="12.75">
      <c r="A112" s="125"/>
      <c r="B112" s="125"/>
      <c r="C112" s="125"/>
      <c r="D112" s="125"/>
      <c r="E112" s="125"/>
      <c r="F112" s="125"/>
      <c r="G112" s="125"/>
      <c r="H112" s="125"/>
      <c r="I112" s="125"/>
      <c r="J112" s="125"/>
      <c r="K112" s="125"/>
      <c r="L112" s="125"/>
      <c r="M112" s="125"/>
      <c r="N112" s="125"/>
      <c r="O112" s="125"/>
      <c r="P112" s="125"/>
      <c r="Q112" s="125"/>
      <c r="R112" s="125"/>
      <c r="S112" s="125"/>
      <c r="T112" s="125"/>
      <c r="U112" s="125"/>
      <c r="V112" s="125"/>
      <c r="W112" s="125"/>
      <c r="X112" s="125"/>
      <c r="Y112" s="125"/>
      <c r="Z112" s="125"/>
      <c r="AA112" s="125"/>
      <c r="AB112" s="125"/>
      <c r="AC112" s="125"/>
      <c r="AD112" s="125"/>
      <c r="AE112" s="125"/>
      <c r="AF112" s="125"/>
      <c r="AG112" s="125"/>
      <c r="AH112" s="125"/>
      <c r="AI112" s="125"/>
      <c r="AJ112" s="125"/>
      <c r="AK112" s="125"/>
      <c r="AL112" s="125"/>
      <c r="AM112" s="125"/>
      <c r="AN112" s="125"/>
      <c r="AO112" s="125"/>
      <c r="AP112" s="125"/>
      <c r="AQ112" s="125"/>
      <c r="AR112" s="125"/>
      <c r="AS112" s="125"/>
      <c r="AT112" s="125"/>
      <c r="AU112" s="125"/>
      <c r="AV112" s="125"/>
      <c r="AW112" s="125"/>
      <c r="AX112" s="125"/>
      <c r="AY112" s="125"/>
      <c r="AZ112" s="125"/>
      <c r="BA112" s="125"/>
      <c r="BB112" s="125"/>
      <c r="BC112" s="125"/>
      <c r="BD112" s="125"/>
      <c r="BE112" s="125"/>
      <c r="BF112" s="125"/>
      <c r="BG112" s="125"/>
      <c r="BH112" s="125"/>
      <c r="BI112" s="125"/>
      <c r="BJ112" s="125"/>
      <c r="BK112" s="125"/>
      <c r="BL112" s="125"/>
      <c r="BM112" s="125"/>
      <c r="BN112" s="125"/>
      <c r="BO112" s="125"/>
      <c r="BP112" s="125"/>
      <c r="BQ112" s="125"/>
      <c r="BR112" s="125"/>
      <c r="BS112" s="125"/>
      <c r="BT112" s="125"/>
      <c r="BU112" s="125"/>
    </row>
    <row r="113" spans="1:73" ht="12.75">
      <c r="A113" s="125"/>
      <c r="B113" s="125"/>
      <c r="C113" s="125"/>
      <c r="D113" s="125"/>
      <c r="E113" s="125"/>
      <c r="F113" s="125"/>
      <c r="G113" s="125"/>
      <c r="H113" s="125"/>
      <c r="I113" s="125"/>
      <c r="J113" s="125"/>
      <c r="K113" s="125"/>
      <c r="L113" s="125"/>
      <c r="M113" s="125"/>
      <c r="N113" s="125"/>
      <c r="O113" s="125"/>
      <c r="P113" s="125"/>
      <c r="Q113" s="125"/>
      <c r="R113" s="125"/>
      <c r="S113" s="125"/>
      <c r="T113" s="125"/>
      <c r="U113" s="125"/>
      <c r="V113" s="125"/>
      <c r="W113" s="125"/>
      <c r="X113" s="125"/>
      <c r="Y113" s="125"/>
      <c r="Z113" s="125"/>
      <c r="AA113" s="125"/>
      <c r="AB113" s="125"/>
      <c r="AC113" s="125"/>
      <c r="AD113" s="125"/>
      <c r="AE113" s="125"/>
      <c r="AF113" s="125"/>
      <c r="AG113" s="125"/>
      <c r="AH113" s="125"/>
      <c r="AI113" s="125"/>
      <c r="AJ113" s="125"/>
      <c r="AK113" s="125"/>
      <c r="AL113" s="125"/>
      <c r="AM113" s="125"/>
      <c r="AN113" s="125"/>
      <c r="AO113" s="125"/>
      <c r="AP113" s="125"/>
      <c r="AQ113" s="125"/>
      <c r="AR113" s="125"/>
      <c r="AS113" s="125"/>
      <c r="AT113" s="125"/>
      <c r="AU113" s="125"/>
      <c r="AV113" s="125"/>
      <c r="AW113" s="125"/>
      <c r="AX113" s="125"/>
      <c r="AY113" s="125"/>
      <c r="AZ113" s="125"/>
      <c r="BA113" s="125"/>
      <c r="BB113" s="125"/>
      <c r="BC113" s="125"/>
      <c r="BD113" s="125"/>
      <c r="BE113" s="125"/>
      <c r="BF113" s="125"/>
      <c r="BG113" s="125"/>
      <c r="BH113" s="125"/>
      <c r="BI113" s="125"/>
      <c r="BJ113" s="125"/>
      <c r="BK113" s="125"/>
      <c r="BL113" s="125"/>
      <c r="BM113" s="125"/>
      <c r="BN113" s="125"/>
      <c r="BO113" s="125"/>
      <c r="BP113" s="125"/>
      <c r="BQ113" s="125"/>
      <c r="BR113" s="125"/>
      <c r="BS113" s="125"/>
      <c r="BT113" s="125"/>
      <c r="BU113" s="125"/>
    </row>
    <row r="114" spans="1:73" ht="12.75">
      <c r="A114" s="125"/>
      <c r="B114" s="125"/>
      <c r="C114" s="125"/>
      <c r="D114" s="125"/>
      <c r="E114" s="125"/>
      <c r="F114" s="125"/>
      <c r="G114" s="125"/>
      <c r="H114" s="125"/>
      <c r="I114" s="125"/>
      <c r="J114" s="125"/>
      <c r="K114" s="125"/>
      <c r="L114" s="125"/>
      <c r="M114" s="125"/>
      <c r="N114" s="125"/>
      <c r="O114" s="125"/>
      <c r="P114" s="125"/>
      <c r="Q114" s="125"/>
      <c r="R114" s="125"/>
      <c r="S114" s="125"/>
      <c r="T114" s="125"/>
      <c r="U114" s="125"/>
      <c r="V114" s="125"/>
      <c r="W114" s="125"/>
      <c r="X114" s="125"/>
      <c r="Y114" s="125"/>
      <c r="Z114" s="125"/>
      <c r="AA114" s="125"/>
      <c r="AB114" s="125"/>
      <c r="AC114" s="125"/>
      <c r="AD114" s="125"/>
      <c r="AE114" s="125"/>
      <c r="AF114" s="125"/>
      <c r="AG114" s="125"/>
      <c r="AH114" s="125"/>
      <c r="AI114" s="125"/>
      <c r="AJ114" s="125"/>
      <c r="AK114" s="125"/>
      <c r="AL114" s="125"/>
      <c r="AM114" s="125"/>
      <c r="AN114" s="125"/>
      <c r="AO114" s="125"/>
      <c r="AP114" s="125"/>
      <c r="AQ114" s="125"/>
      <c r="AR114" s="125"/>
      <c r="AS114" s="125"/>
      <c r="AT114" s="125"/>
      <c r="AU114" s="125"/>
      <c r="AV114" s="125"/>
      <c r="AW114" s="125"/>
      <c r="AX114" s="125"/>
      <c r="AY114" s="125"/>
      <c r="AZ114" s="125"/>
      <c r="BA114" s="125"/>
      <c r="BB114" s="125"/>
      <c r="BC114" s="125"/>
      <c r="BD114" s="125"/>
      <c r="BE114" s="125"/>
      <c r="BF114" s="125"/>
      <c r="BG114" s="125"/>
      <c r="BH114" s="125"/>
      <c r="BI114" s="125"/>
      <c r="BJ114" s="125"/>
      <c r="BK114" s="125"/>
      <c r="BL114" s="125"/>
      <c r="BM114" s="125"/>
      <c r="BN114" s="125"/>
      <c r="BO114" s="125"/>
      <c r="BP114" s="125"/>
      <c r="BQ114" s="125"/>
      <c r="BR114" s="125"/>
      <c r="BS114" s="125"/>
      <c r="BT114" s="125"/>
      <c r="BU114" s="125"/>
    </row>
    <row r="115" spans="1:73" ht="12.75">
      <c r="A115" s="125"/>
      <c r="B115" s="125"/>
      <c r="C115" s="125"/>
      <c r="D115" s="125"/>
      <c r="E115" s="125"/>
      <c r="F115" s="125"/>
      <c r="G115" s="125"/>
      <c r="H115" s="125"/>
      <c r="I115" s="125"/>
      <c r="J115" s="125"/>
      <c r="K115" s="125"/>
      <c r="L115" s="125"/>
      <c r="M115" s="125"/>
      <c r="N115" s="125"/>
      <c r="O115" s="125"/>
      <c r="P115" s="125"/>
      <c r="Q115" s="125"/>
      <c r="R115" s="125"/>
      <c r="S115" s="125"/>
      <c r="T115" s="125"/>
      <c r="U115" s="125"/>
      <c r="V115" s="125"/>
      <c r="W115" s="125"/>
      <c r="X115" s="125"/>
      <c r="Y115" s="125"/>
      <c r="Z115" s="125"/>
      <c r="AA115" s="125"/>
      <c r="AB115" s="125"/>
      <c r="AC115" s="125"/>
      <c r="AD115" s="125"/>
      <c r="AE115" s="125"/>
      <c r="AF115" s="125"/>
      <c r="AG115" s="125"/>
      <c r="AH115" s="125"/>
      <c r="AI115" s="125"/>
      <c r="AJ115" s="125"/>
      <c r="AK115" s="125"/>
      <c r="AL115" s="125"/>
      <c r="AM115" s="125"/>
      <c r="AN115" s="125"/>
      <c r="AO115" s="125"/>
      <c r="AP115" s="125"/>
      <c r="AQ115" s="125"/>
      <c r="AR115" s="125"/>
      <c r="AS115" s="125"/>
      <c r="AT115" s="125"/>
      <c r="AU115" s="125"/>
      <c r="AV115" s="125"/>
      <c r="AW115" s="125"/>
      <c r="AX115" s="125"/>
      <c r="AY115" s="125"/>
      <c r="AZ115" s="125"/>
      <c r="BA115" s="125"/>
      <c r="BB115" s="125"/>
      <c r="BC115" s="125"/>
      <c r="BD115" s="125"/>
      <c r="BE115" s="125"/>
      <c r="BF115" s="125"/>
      <c r="BG115" s="125"/>
      <c r="BH115" s="125"/>
      <c r="BI115" s="125"/>
      <c r="BJ115" s="125"/>
      <c r="BK115" s="125"/>
      <c r="BL115" s="125"/>
      <c r="BM115" s="125"/>
      <c r="BN115" s="125"/>
      <c r="BO115" s="125"/>
      <c r="BP115" s="125"/>
      <c r="BQ115" s="125"/>
      <c r="BR115" s="125"/>
      <c r="BS115" s="125"/>
      <c r="BT115" s="125"/>
      <c r="BU115" s="125"/>
    </row>
    <row r="116" spans="1:73" ht="12.75">
      <c r="A116" s="125"/>
      <c r="B116" s="125"/>
      <c r="C116" s="125"/>
      <c r="D116" s="125"/>
      <c r="E116" s="125"/>
      <c r="F116" s="125"/>
      <c r="G116" s="125"/>
      <c r="H116" s="125"/>
      <c r="I116" s="125"/>
      <c r="J116" s="125"/>
      <c r="K116" s="125"/>
      <c r="L116" s="125"/>
      <c r="M116" s="125"/>
      <c r="N116" s="125"/>
      <c r="O116" s="125"/>
      <c r="P116" s="125"/>
      <c r="Q116" s="125"/>
      <c r="R116" s="125"/>
      <c r="S116" s="125"/>
      <c r="T116" s="125"/>
      <c r="U116" s="125"/>
      <c r="V116" s="125"/>
      <c r="W116" s="125"/>
      <c r="X116" s="125"/>
      <c r="Y116" s="125"/>
      <c r="Z116" s="125"/>
      <c r="AA116" s="125"/>
      <c r="AB116" s="125"/>
      <c r="AC116" s="125"/>
      <c r="AD116" s="125"/>
      <c r="AE116" s="125"/>
      <c r="AF116" s="125"/>
      <c r="AG116" s="125"/>
      <c r="AH116" s="125"/>
      <c r="AI116" s="125"/>
      <c r="AJ116" s="125"/>
      <c r="AK116" s="125"/>
      <c r="AL116" s="125"/>
      <c r="AM116" s="125"/>
      <c r="AN116" s="125"/>
      <c r="AO116" s="125"/>
      <c r="AP116" s="125"/>
      <c r="AQ116" s="125"/>
      <c r="AR116" s="125"/>
      <c r="AS116" s="125"/>
      <c r="AT116" s="125"/>
      <c r="AU116" s="125"/>
      <c r="AV116" s="125"/>
      <c r="AW116" s="125"/>
      <c r="AX116" s="125"/>
      <c r="AY116" s="125"/>
      <c r="AZ116" s="125"/>
      <c r="BA116" s="125"/>
      <c r="BB116" s="125"/>
      <c r="BC116" s="125"/>
      <c r="BD116" s="125"/>
      <c r="BE116" s="125"/>
      <c r="BF116" s="125"/>
      <c r="BG116" s="125"/>
      <c r="BH116" s="125"/>
      <c r="BI116" s="125"/>
      <c r="BJ116" s="125"/>
      <c r="BK116" s="125"/>
      <c r="BL116" s="125"/>
      <c r="BM116" s="125"/>
      <c r="BN116" s="125"/>
      <c r="BO116" s="125"/>
      <c r="BP116" s="125"/>
      <c r="BQ116" s="125"/>
      <c r="BR116" s="125"/>
      <c r="BS116" s="125"/>
      <c r="BT116" s="125"/>
      <c r="BU116" s="125"/>
    </row>
    <row r="117" spans="1:73" ht="12.75">
      <c r="A117" s="125"/>
      <c r="B117" s="125"/>
      <c r="C117" s="125"/>
      <c r="D117" s="125"/>
      <c r="E117" s="125"/>
      <c r="F117" s="125"/>
      <c r="G117" s="125"/>
      <c r="H117" s="125"/>
      <c r="I117" s="125"/>
      <c r="J117" s="125"/>
      <c r="K117" s="125"/>
      <c r="L117" s="125"/>
      <c r="M117" s="125"/>
      <c r="N117" s="125"/>
      <c r="O117" s="125"/>
      <c r="P117" s="125"/>
      <c r="Q117" s="125"/>
      <c r="R117" s="125"/>
      <c r="S117" s="125"/>
      <c r="T117" s="125"/>
      <c r="U117" s="125"/>
      <c r="V117" s="125"/>
      <c r="W117" s="125"/>
      <c r="X117" s="125"/>
      <c r="Y117" s="125"/>
      <c r="Z117" s="125"/>
      <c r="AA117" s="125"/>
      <c r="AB117" s="125"/>
      <c r="AC117" s="125"/>
      <c r="AD117" s="125"/>
      <c r="AE117" s="125"/>
      <c r="AF117" s="125"/>
      <c r="AG117" s="125"/>
      <c r="AH117" s="125"/>
      <c r="AI117" s="125"/>
      <c r="AJ117" s="125"/>
      <c r="AK117" s="125"/>
      <c r="AL117" s="125"/>
      <c r="AM117" s="125"/>
      <c r="AN117" s="125"/>
      <c r="AO117" s="125"/>
      <c r="AP117" s="125"/>
      <c r="AQ117" s="125"/>
      <c r="AR117" s="125"/>
      <c r="AS117" s="125"/>
      <c r="AT117" s="125"/>
      <c r="AU117" s="125"/>
      <c r="AV117" s="125"/>
      <c r="AW117" s="125"/>
      <c r="AX117" s="125"/>
      <c r="AY117" s="125"/>
      <c r="AZ117" s="125"/>
      <c r="BA117" s="125"/>
      <c r="BB117" s="125"/>
      <c r="BC117" s="125"/>
      <c r="BD117" s="125"/>
      <c r="BE117" s="125"/>
      <c r="BF117" s="125"/>
      <c r="BG117" s="125"/>
      <c r="BH117" s="125"/>
      <c r="BI117" s="125"/>
      <c r="BJ117" s="125"/>
      <c r="BK117" s="125"/>
      <c r="BL117" s="125"/>
      <c r="BM117" s="125"/>
      <c r="BN117" s="125"/>
      <c r="BO117" s="125"/>
      <c r="BP117" s="125"/>
      <c r="BQ117" s="125"/>
      <c r="BR117" s="125"/>
      <c r="BS117" s="125"/>
      <c r="BT117" s="125"/>
      <c r="BU117" s="125"/>
    </row>
    <row r="118" spans="1:73" ht="12.75">
      <c r="A118" s="125"/>
      <c r="B118" s="125"/>
      <c r="C118" s="125"/>
      <c r="D118" s="125"/>
      <c r="E118" s="125"/>
      <c r="F118" s="125"/>
      <c r="G118" s="125"/>
      <c r="H118" s="125"/>
      <c r="I118" s="125"/>
      <c r="J118" s="125"/>
      <c r="K118" s="125"/>
      <c r="L118" s="125"/>
      <c r="M118" s="125"/>
      <c r="N118" s="125"/>
      <c r="O118" s="125"/>
      <c r="P118" s="125"/>
      <c r="Q118" s="125"/>
      <c r="R118" s="125"/>
      <c r="S118" s="125"/>
      <c r="T118" s="125"/>
      <c r="U118" s="125"/>
      <c r="V118" s="125"/>
      <c r="W118" s="125"/>
      <c r="X118" s="125"/>
      <c r="Y118" s="125"/>
      <c r="Z118" s="125"/>
      <c r="AA118" s="125"/>
      <c r="AB118" s="125"/>
      <c r="AC118" s="125"/>
      <c r="AD118" s="125"/>
      <c r="AE118" s="125"/>
      <c r="AF118" s="125"/>
      <c r="AG118" s="125"/>
      <c r="AH118" s="125"/>
      <c r="AI118" s="125"/>
      <c r="AJ118" s="125"/>
      <c r="AK118" s="125"/>
      <c r="AL118" s="125"/>
      <c r="AM118" s="125"/>
      <c r="AN118" s="125"/>
      <c r="AO118" s="125"/>
      <c r="AP118" s="125"/>
      <c r="AQ118" s="125"/>
      <c r="AR118" s="125"/>
      <c r="AS118" s="125"/>
      <c r="AT118" s="125"/>
      <c r="AU118" s="125"/>
      <c r="AV118" s="125"/>
      <c r="AW118" s="125"/>
      <c r="AX118" s="125"/>
      <c r="AY118" s="125"/>
      <c r="AZ118" s="125"/>
      <c r="BA118" s="125"/>
      <c r="BB118" s="125"/>
      <c r="BC118" s="125"/>
      <c r="BD118" s="125"/>
      <c r="BE118" s="125"/>
      <c r="BF118" s="125"/>
      <c r="BG118" s="125"/>
      <c r="BH118" s="125"/>
      <c r="BI118" s="125"/>
      <c r="BJ118" s="125"/>
      <c r="BK118" s="125"/>
      <c r="BL118" s="125"/>
      <c r="BM118" s="125"/>
      <c r="BN118" s="125"/>
      <c r="BO118" s="125"/>
      <c r="BP118" s="125"/>
      <c r="BQ118" s="125"/>
      <c r="BR118" s="125"/>
      <c r="BS118" s="125"/>
      <c r="BT118" s="125"/>
      <c r="BU118" s="125"/>
    </row>
    <row r="119" spans="1:73" ht="12.75">
      <c r="A119" s="125"/>
      <c r="B119" s="125"/>
      <c r="C119" s="125"/>
      <c r="D119" s="125"/>
      <c r="E119" s="125"/>
      <c r="F119" s="125"/>
      <c r="G119" s="125"/>
      <c r="H119" s="125"/>
      <c r="I119" s="125"/>
      <c r="J119" s="125"/>
      <c r="K119" s="125"/>
      <c r="L119" s="125"/>
      <c r="M119" s="125"/>
      <c r="N119" s="125"/>
      <c r="O119" s="125"/>
      <c r="P119" s="125"/>
      <c r="Q119" s="125"/>
      <c r="R119" s="125"/>
      <c r="S119" s="125"/>
      <c r="T119" s="125"/>
      <c r="U119" s="125"/>
      <c r="V119" s="125"/>
      <c r="W119" s="125"/>
      <c r="X119" s="125"/>
      <c r="Y119" s="125"/>
      <c r="Z119" s="125"/>
      <c r="AA119" s="125"/>
      <c r="AB119" s="125"/>
      <c r="AC119" s="125"/>
      <c r="AD119" s="125"/>
      <c r="AE119" s="125"/>
      <c r="AF119" s="125"/>
      <c r="AG119" s="125"/>
      <c r="AH119" s="125"/>
      <c r="AI119" s="125"/>
      <c r="AJ119" s="125"/>
      <c r="AK119" s="125"/>
      <c r="AL119" s="125"/>
      <c r="AM119" s="125"/>
      <c r="AN119" s="125"/>
      <c r="AO119" s="125"/>
      <c r="AP119" s="125"/>
      <c r="AQ119" s="125"/>
      <c r="AR119" s="125"/>
      <c r="AS119" s="125"/>
      <c r="AT119" s="125"/>
      <c r="AU119" s="125"/>
      <c r="AV119" s="125"/>
      <c r="AW119" s="125"/>
      <c r="AX119" s="125"/>
      <c r="AY119" s="125"/>
      <c r="AZ119" s="125"/>
      <c r="BA119" s="125"/>
      <c r="BB119" s="125"/>
      <c r="BC119" s="125"/>
      <c r="BD119" s="125"/>
      <c r="BE119" s="125"/>
      <c r="BF119" s="125"/>
      <c r="BG119" s="125"/>
      <c r="BH119" s="125"/>
      <c r="BI119" s="125"/>
      <c r="BJ119" s="125"/>
      <c r="BK119" s="125"/>
      <c r="BL119" s="125"/>
      <c r="BM119" s="125"/>
      <c r="BN119" s="125"/>
      <c r="BO119" s="125"/>
      <c r="BP119" s="125"/>
      <c r="BQ119" s="125"/>
      <c r="BR119" s="125"/>
      <c r="BS119" s="125"/>
      <c r="BT119" s="125"/>
      <c r="BU119" s="125"/>
    </row>
    <row r="120" spans="1:73" ht="12.75">
      <c r="A120" s="125"/>
      <c r="B120" s="125"/>
      <c r="C120" s="125"/>
      <c r="D120" s="125"/>
      <c r="E120" s="125"/>
      <c r="F120" s="125"/>
      <c r="G120" s="125"/>
      <c r="H120" s="125"/>
      <c r="I120" s="125"/>
      <c r="J120" s="125"/>
      <c r="K120" s="125"/>
      <c r="L120" s="125"/>
      <c r="M120" s="125"/>
      <c r="N120" s="125"/>
      <c r="O120" s="125"/>
      <c r="P120" s="125"/>
      <c r="Q120" s="125"/>
      <c r="R120" s="125"/>
      <c r="S120" s="125"/>
      <c r="T120" s="125"/>
      <c r="U120" s="125"/>
      <c r="V120" s="125"/>
      <c r="W120" s="125"/>
      <c r="X120" s="125"/>
      <c r="Y120" s="125"/>
      <c r="Z120" s="125"/>
      <c r="AA120" s="125"/>
      <c r="AB120" s="125"/>
      <c r="AC120" s="125"/>
      <c r="AD120" s="125"/>
      <c r="AE120" s="125"/>
      <c r="AF120" s="125"/>
      <c r="AG120" s="125"/>
      <c r="AH120" s="125"/>
      <c r="AI120" s="125"/>
      <c r="AJ120" s="125"/>
      <c r="AK120" s="125"/>
      <c r="AL120" s="125"/>
      <c r="AM120" s="125"/>
      <c r="AN120" s="125"/>
      <c r="AO120" s="125"/>
      <c r="AP120" s="125"/>
      <c r="AQ120" s="125"/>
      <c r="AR120" s="125"/>
      <c r="AS120" s="125"/>
      <c r="AT120" s="125"/>
      <c r="AU120" s="125"/>
      <c r="AV120" s="125"/>
      <c r="AW120" s="125"/>
      <c r="AX120" s="125"/>
      <c r="AY120" s="125"/>
      <c r="AZ120" s="125"/>
      <c r="BA120" s="125"/>
      <c r="BB120" s="125"/>
      <c r="BC120" s="125"/>
      <c r="BD120" s="125"/>
      <c r="BE120" s="125"/>
      <c r="BF120" s="125"/>
      <c r="BG120" s="125"/>
      <c r="BH120" s="125"/>
      <c r="BI120" s="125"/>
      <c r="BJ120" s="125"/>
      <c r="BK120" s="125"/>
      <c r="BL120" s="125"/>
      <c r="BM120" s="125"/>
      <c r="BN120" s="125"/>
      <c r="BO120" s="125"/>
      <c r="BP120" s="125"/>
      <c r="BQ120" s="125"/>
      <c r="BR120" s="125"/>
      <c r="BS120" s="125"/>
      <c r="BT120" s="125"/>
      <c r="BU120" s="125"/>
    </row>
    <row r="121" spans="1:73" ht="12.75">
      <c r="A121" s="125"/>
      <c r="B121" s="125"/>
      <c r="C121" s="125"/>
      <c r="D121" s="125"/>
      <c r="E121" s="125"/>
      <c r="F121" s="125"/>
      <c r="G121" s="125"/>
      <c r="H121" s="125"/>
      <c r="I121" s="125"/>
      <c r="J121" s="125"/>
      <c r="K121" s="125"/>
      <c r="L121" s="125"/>
      <c r="M121" s="125"/>
      <c r="N121" s="125"/>
      <c r="O121" s="125"/>
      <c r="P121" s="125"/>
      <c r="Q121" s="125"/>
      <c r="R121" s="125"/>
      <c r="S121" s="125"/>
      <c r="T121" s="125"/>
      <c r="U121" s="125"/>
      <c r="V121" s="125"/>
      <c r="W121" s="125"/>
      <c r="X121" s="125"/>
      <c r="Y121" s="125"/>
      <c r="Z121" s="125"/>
      <c r="AA121" s="125"/>
      <c r="AB121" s="125"/>
      <c r="AC121" s="125"/>
      <c r="AD121" s="125"/>
      <c r="AE121" s="125"/>
      <c r="AF121" s="125"/>
      <c r="AG121" s="125"/>
      <c r="AH121" s="125"/>
      <c r="AI121" s="125"/>
      <c r="AJ121" s="125"/>
      <c r="AK121" s="125"/>
      <c r="AL121" s="125"/>
      <c r="AM121" s="125"/>
      <c r="AN121" s="125"/>
      <c r="AO121" s="125"/>
      <c r="AP121" s="125"/>
      <c r="AQ121" s="125"/>
      <c r="AR121" s="125"/>
      <c r="AS121" s="125"/>
      <c r="AT121" s="125"/>
      <c r="AU121" s="125"/>
      <c r="AV121" s="125"/>
      <c r="AW121" s="125"/>
      <c r="AX121" s="125"/>
      <c r="AY121" s="125"/>
      <c r="AZ121" s="125"/>
      <c r="BA121" s="125"/>
      <c r="BB121" s="125"/>
      <c r="BC121" s="125"/>
      <c r="BD121" s="125"/>
      <c r="BE121" s="125"/>
      <c r="BF121" s="125"/>
      <c r="BG121" s="125"/>
      <c r="BH121" s="125"/>
      <c r="BI121" s="125"/>
      <c r="BJ121" s="125"/>
      <c r="BK121" s="125"/>
      <c r="BL121" s="125"/>
      <c r="BM121" s="125"/>
      <c r="BN121" s="125"/>
      <c r="BO121" s="125"/>
      <c r="BP121" s="125"/>
      <c r="BQ121" s="125"/>
      <c r="BR121" s="125"/>
      <c r="BS121" s="125"/>
      <c r="BT121" s="125"/>
      <c r="BU121" s="125"/>
    </row>
    <row r="122" spans="1:73" ht="12.75">
      <c r="A122" s="125"/>
      <c r="B122" s="125"/>
      <c r="C122" s="125"/>
      <c r="D122" s="125"/>
      <c r="E122" s="125"/>
      <c r="F122" s="125"/>
      <c r="G122" s="125"/>
      <c r="H122" s="125"/>
      <c r="I122" s="125"/>
      <c r="J122" s="125"/>
      <c r="K122" s="125"/>
      <c r="L122" s="125"/>
      <c r="M122" s="125"/>
      <c r="N122" s="125"/>
      <c r="O122" s="125"/>
      <c r="P122" s="125"/>
      <c r="Q122" s="125"/>
      <c r="R122" s="125"/>
      <c r="S122" s="125"/>
      <c r="T122" s="125"/>
      <c r="U122" s="125"/>
      <c r="V122" s="125"/>
      <c r="W122" s="125"/>
      <c r="X122" s="125"/>
      <c r="Y122" s="125"/>
      <c r="Z122" s="125"/>
      <c r="AA122" s="125"/>
      <c r="AB122" s="125"/>
      <c r="AC122" s="125"/>
      <c r="AD122" s="125"/>
      <c r="AE122" s="125"/>
      <c r="AF122" s="125"/>
      <c r="AG122" s="125"/>
      <c r="AH122" s="125"/>
      <c r="AI122" s="125"/>
      <c r="AJ122" s="125"/>
      <c r="AK122" s="125"/>
      <c r="AL122" s="125"/>
      <c r="AM122" s="125"/>
      <c r="AN122" s="125"/>
      <c r="AO122" s="125"/>
      <c r="AP122" s="125"/>
      <c r="AQ122" s="125"/>
      <c r="AR122" s="125"/>
      <c r="AS122" s="125"/>
      <c r="AT122" s="125"/>
      <c r="AU122" s="125"/>
      <c r="AV122" s="125"/>
      <c r="AW122" s="125"/>
      <c r="AX122" s="125"/>
      <c r="AY122" s="125"/>
      <c r="AZ122" s="125"/>
      <c r="BA122" s="125"/>
      <c r="BB122" s="125"/>
      <c r="BC122" s="125"/>
      <c r="BD122" s="125"/>
      <c r="BE122" s="125"/>
      <c r="BF122" s="125"/>
      <c r="BG122" s="125"/>
      <c r="BH122" s="125"/>
      <c r="BI122" s="125"/>
      <c r="BJ122" s="125"/>
      <c r="BK122" s="125"/>
      <c r="BL122" s="125"/>
      <c r="BM122" s="125"/>
      <c r="BN122" s="125"/>
      <c r="BO122" s="125"/>
      <c r="BP122" s="125"/>
      <c r="BQ122" s="125"/>
      <c r="BR122" s="125"/>
      <c r="BS122" s="125"/>
      <c r="BT122" s="125"/>
      <c r="BU122" s="125"/>
    </row>
    <row r="123" spans="1:73" ht="12.75">
      <c r="A123" s="125"/>
      <c r="B123" s="125"/>
      <c r="C123" s="125"/>
      <c r="D123" s="125"/>
      <c r="E123" s="125"/>
      <c r="F123" s="125"/>
      <c r="G123" s="125"/>
      <c r="H123" s="125"/>
      <c r="I123" s="125"/>
      <c r="J123" s="125"/>
      <c r="K123" s="125"/>
      <c r="L123" s="125"/>
      <c r="M123" s="125"/>
      <c r="N123" s="125"/>
      <c r="O123" s="125"/>
      <c r="P123" s="125"/>
      <c r="Q123" s="125"/>
      <c r="R123" s="125"/>
      <c r="S123" s="125"/>
      <c r="T123" s="125"/>
      <c r="U123" s="125"/>
      <c r="V123" s="125"/>
      <c r="W123" s="125"/>
      <c r="X123" s="125"/>
      <c r="Y123" s="125"/>
      <c r="Z123" s="125"/>
      <c r="AA123" s="125"/>
      <c r="AB123" s="125"/>
      <c r="AC123" s="125"/>
      <c r="AD123" s="125"/>
      <c r="AE123" s="125"/>
      <c r="AF123" s="125"/>
      <c r="AG123" s="125"/>
      <c r="AH123" s="125"/>
      <c r="AI123" s="125"/>
      <c r="AJ123" s="125"/>
      <c r="AK123" s="125"/>
      <c r="AL123" s="125"/>
      <c r="AM123" s="125"/>
      <c r="AN123" s="125"/>
      <c r="AO123" s="125"/>
      <c r="AP123" s="125"/>
      <c r="AQ123" s="125"/>
      <c r="AR123" s="125"/>
      <c r="AS123" s="125"/>
      <c r="AT123" s="125"/>
      <c r="AU123" s="125"/>
      <c r="AV123" s="125"/>
      <c r="AW123" s="125"/>
      <c r="AX123" s="125"/>
      <c r="AY123" s="125"/>
      <c r="AZ123" s="125"/>
      <c r="BA123" s="125"/>
      <c r="BB123" s="125"/>
      <c r="BC123" s="125"/>
      <c r="BD123" s="125"/>
      <c r="BE123" s="125"/>
      <c r="BF123" s="125"/>
      <c r="BG123" s="125"/>
      <c r="BH123" s="125"/>
      <c r="BI123" s="125"/>
      <c r="BJ123" s="125"/>
      <c r="BK123" s="125"/>
      <c r="BL123" s="125"/>
      <c r="BM123" s="125"/>
      <c r="BN123" s="125"/>
      <c r="BO123" s="125"/>
      <c r="BP123" s="125"/>
      <c r="BQ123" s="125"/>
      <c r="BR123" s="125"/>
      <c r="BS123" s="125"/>
      <c r="BT123" s="125"/>
      <c r="BU123" s="125"/>
    </row>
    <row r="124" spans="1:73" ht="12.75">
      <c r="A124" s="125"/>
      <c r="B124" s="125"/>
      <c r="C124" s="125"/>
      <c r="D124" s="125"/>
      <c r="E124" s="125"/>
      <c r="F124" s="125"/>
      <c r="G124" s="125"/>
      <c r="H124" s="125"/>
      <c r="I124" s="125"/>
      <c r="J124" s="125"/>
      <c r="K124" s="125"/>
      <c r="L124" s="125"/>
      <c r="M124" s="125"/>
      <c r="N124" s="125"/>
      <c r="O124" s="125"/>
      <c r="P124" s="125"/>
      <c r="Q124" s="125"/>
      <c r="R124" s="125"/>
      <c r="S124" s="125"/>
      <c r="T124" s="125"/>
      <c r="U124" s="125"/>
      <c r="V124" s="125"/>
      <c r="W124" s="125"/>
      <c r="X124" s="125"/>
      <c r="Y124" s="125"/>
      <c r="Z124" s="125"/>
      <c r="AA124" s="125"/>
      <c r="AB124" s="125"/>
      <c r="AC124" s="125"/>
      <c r="AD124" s="125"/>
      <c r="AE124" s="125"/>
      <c r="AF124" s="125"/>
      <c r="AG124" s="125"/>
      <c r="AH124" s="125"/>
      <c r="AI124" s="125"/>
      <c r="AJ124" s="125"/>
      <c r="AK124" s="125"/>
      <c r="AL124" s="125"/>
      <c r="AM124" s="125"/>
      <c r="AN124" s="125"/>
      <c r="AO124" s="125"/>
      <c r="AP124" s="125"/>
      <c r="AQ124" s="125"/>
      <c r="AR124" s="125"/>
      <c r="AS124" s="125"/>
      <c r="AT124" s="125"/>
      <c r="AU124" s="125"/>
      <c r="AV124" s="125"/>
      <c r="AW124" s="125"/>
      <c r="AX124" s="125"/>
      <c r="AY124" s="125"/>
      <c r="AZ124" s="125"/>
      <c r="BA124" s="125"/>
      <c r="BB124" s="125"/>
      <c r="BC124" s="125"/>
      <c r="BD124" s="125"/>
      <c r="BE124" s="125"/>
      <c r="BF124" s="125"/>
      <c r="BG124" s="125"/>
      <c r="BH124" s="125"/>
      <c r="BI124" s="125"/>
      <c r="BJ124" s="125"/>
      <c r="BK124" s="125"/>
      <c r="BL124" s="125"/>
      <c r="BM124" s="125"/>
      <c r="BN124" s="125"/>
      <c r="BO124" s="125"/>
      <c r="BP124" s="125"/>
      <c r="BQ124" s="125"/>
      <c r="BR124" s="125"/>
      <c r="BS124" s="125"/>
      <c r="BT124" s="125"/>
      <c r="BU124" s="125"/>
    </row>
    <row r="125" spans="1:73" ht="12.75">
      <c r="A125" s="125"/>
      <c r="B125" s="125"/>
      <c r="C125" s="125"/>
      <c r="D125" s="125"/>
      <c r="E125" s="125"/>
      <c r="F125" s="125"/>
      <c r="G125" s="125"/>
      <c r="H125" s="125"/>
      <c r="I125" s="125"/>
      <c r="J125" s="125"/>
      <c r="K125" s="125"/>
      <c r="L125" s="125"/>
      <c r="M125" s="125"/>
      <c r="N125" s="125"/>
      <c r="O125" s="125"/>
      <c r="P125" s="125"/>
      <c r="Q125" s="125"/>
      <c r="R125" s="125"/>
      <c r="S125" s="125"/>
      <c r="T125" s="125"/>
      <c r="U125" s="125"/>
      <c r="V125" s="125"/>
      <c r="W125" s="125"/>
      <c r="X125" s="125"/>
      <c r="Y125" s="125"/>
      <c r="Z125" s="125"/>
      <c r="AA125" s="125"/>
      <c r="AB125" s="125"/>
      <c r="AC125" s="125"/>
      <c r="AD125" s="125"/>
      <c r="AE125" s="125"/>
      <c r="AF125" s="125"/>
      <c r="AG125" s="125"/>
      <c r="AH125" s="125"/>
      <c r="AI125" s="125"/>
      <c r="AJ125" s="125"/>
      <c r="AK125" s="125"/>
      <c r="AL125" s="125"/>
      <c r="AM125" s="125"/>
      <c r="AN125" s="125"/>
      <c r="AO125" s="125"/>
      <c r="AP125" s="125"/>
      <c r="AQ125" s="125"/>
      <c r="AR125" s="125"/>
      <c r="AS125" s="125"/>
      <c r="AT125" s="125"/>
      <c r="AU125" s="125"/>
      <c r="AV125" s="125"/>
      <c r="AW125" s="125"/>
      <c r="AX125" s="125"/>
      <c r="AY125" s="125"/>
      <c r="AZ125" s="125"/>
      <c r="BA125" s="125"/>
      <c r="BB125" s="125"/>
      <c r="BC125" s="125"/>
      <c r="BD125" s="125"/>
      <c r="BE125" s="125"/>
      <c r="BF125" s="125"/>
      <c r="BG125" s="125"/>
      <c r="BH125" s="125"/>
      <c r="BI125" s="125"/>
      <c r="BJ125" s="125"/>
      <c r="BK125" s="125"/>
      <c r="BL125" s="125"/>
      <c r="BM125" s="125"/>
      <c r="BN125" s="125"/>
      <c r="BO125" s="125"/>
      <c r="BP125" s="125"/>
      <c r="BQ125" s="125"/>
      <c r="BR125" s="125"/>
      <c r="BS125" s="125"/>
      <c r="BT125" s="125"/>
      <c r="BU125" s="125"/>
    </row>
    <row r="126" spans="1:73" ht="12.75">
      <c r="A126" s="125"/>
      <c r="B126" s="125"/>
      <c r="C126" s="125"/>
      <c r="D126" s="125"/>
      <c r="E126" s="125"/>
      <c r="F126" s="125"/>
      <c r="G126" s="125"/>
      <c r="H126" s="125"/>
      <c r="I126" s="125"/>
      <c r="J126" s="125"/>
      <c r="K126" s="125"/>
      <c r="L126" s="125"/>
      <c r="M126" s="125"/>
      <c r="N126" s="125"/>
      <c r="O126" s="125"/>
      <c r="P126" s="125"/>
      <c r="Q126" s="125"/>
      <c r="R126" s="125"/>
      <c r="S126" s="125"/>
      <c r="T126" s="125"/>
      <c r="U126" s="125"/>
      <c r="V126" s="125"/>
      <c r="W126" s="125"/>
      <c r="X126" s="125"/>
      <c r="Y126" s="125"/>
      <c r="Z126" s="125"/>
      <c r="AA126" s="125"/>
      <c r="AB126" s="125"/>
      <c r="AC126" s="125"/>
      <c r="AD126" s="125"/>
      <c r="AE126" s="125"/>
      <c r="AF126" s="125"/>
      <c r="AG126" s="125"/>
      <c r="AH126" s="125"/>
      <c r="AI126" s="125"/>
      <c r="AJ126" s="125"/>
      <c r="AK126" s="125"/>
      <c r="AL126" s="125"/>
      <c r="AM126" s="125"/>
      <c r="AN126" s="125"/>
      <c r="AO126" s="125"/>
      <c r="AP126" s="125"/>
      <c r="AQ126" s="125"/>
      <c r="AR126" s="125"/>
      <c r="AS126" s="125"/>
      <c r="AT126" s="125"/>
      <c r="AU126" s="125"/>
      <c r="AV126" s="125"/>
      <c r="AW126" s="125"/>
      <c r="AX126" s="125"/>
      <c r="AY126" s="125"/>
      <c r="AZ126" s="125"/>
      <c r="BA126" s="125"/>
      <c r="BB126" s="125"/>
      <c r="BC126" s="125"/>
      <c r="BD126" s="125"/>
      <c r="BE126" s="125"/>
      <c r="BF126" s="125"/>
      <c r="BG126" s="125"/>
      <c r="BH126" s="125"/>
      <c r="BI126" s="125"/>
      <c r="BJ126" s="125"/>
      <c r="BK126" s="125"/>
      <c r="BL126" s="125"/>
      <c r="BM126" s="125"/>
      <c r="BN126" s="125"/>
      <c r="BO126" s="125"/>
      <c r="BP126" s="125"/>
      <c r="BQ126" s="125"/>
      <c r="BR126" s="125"/>
      <c r="BS126" s="125"/>
      <c r="BT126" s="125"/>
      <c r="BU126" s="125"/>
    </row>
    <row r="127" spans="1:73" ht="12.75">
      <c r="A127" s="125"/>
      <c r="B127" s="125"/>
      <c r="C127" s="125"/>
      <c r="D127" s="125"/>
      <c r="E127" s="125"/>
      <c r="F127" s="125"/>
      <c r="G127" s="125"/>
      <c r="H127" s="125"/>
      <c r="I127" s="125"/>
      <c r="J127" s="125"/>
      <c r="K127" s="125"/>
      <c r="L127" s="125"/>
      <c r="M127" s="125"/>
      <c r="N127" s="125"/>
      <c r="O127" s="125"/>
      <c r="P127" s="125"/>
      <c r="Q127" s="125"/>
      <c r="R127" s="125"/>
      <c r="S127" s="125"/>
      <c r="T127" s="125"/>
      <c r="U127" s="125"/>
      <c r="V127" s="125"/>
      <c r="W127" s="125"/>
      <c r="X127" s="125"/>
      <c r="Y127" s="125"/>
      <c r="Z127" s="125"/>
      <c r="AA127" s="125"/>
      <c r="AB127" s="125"/>
      <c r="AC127" s="125"/>
      <c r="AD127" s="125"/>
      <c r="AE127" s="125"/>
      <c r="AF127" s="125"/>
      <c r="AG127" s="125"/>
      <c r="AH127" s="125"/>
      <c r="AI127" s="125"/>
      <c r="AJ127" s="125"/>
      <c r="AK127" s="125"/>
      <c r="AL127" s="125"/>
      <c r="AM127" s="125"/>
      <c r="AN127" s="125"/>
      <c r="AO127" s="125"/>
      <c r="AP127" s="125"/>
      <c r="AQ127" s="125"/>
      <c r="AR127" s="125"/>
      <c r="AS127" s="125"/>
      <c r="AT127" s="125"/>
      <c r="AU127" s="125"/>
      <c r="AV127" s="125"/>
      <c r="AW127" s="125"/>
      <c r="AX127" s="125"/>
      <c r="AY127" s="125"/>
      <c r="AZ127" s="125"/>
      <c r="BA127" s="125"/>
      <c r="BB127" s="125"/>
      <c r="BC127" s="125"/>
      <c r="BD127" s="125"/>
      <c r="BE127" s="125"/>
      <c r="BF127" s="125"/>
      <c r="BG127" s="125"/>
      <c r="BH127" s="125"/>
      <c r="BI127" s="125"/>
      <c r="BJ127" s="125"/>
      <c r="BK127" s="125"/>
      <c r="BL127" s="125"/>
      <c r="BM127" s="125"/>
      <c r="BN127" s="125"/>
      <c r="BO127" s="125"/>
      <c r="BP127" s="125"/>
      <c r="BQ127" s="125"/>
      <c r="BR127" s="125"/>
      <c r="BS127" s="125"/>
      <c r="BT127" s="125"/>
      <c r="BU127" s="125"/>
    </row>
    <row r="128" spans="1:73" ht="12.75">
      <c r="A128" s="125"/>
      <c r="B128" s="125"/>
      <c r="C128" s="125"/>
      <c r="D128" s="125"/>
      <c r="E128" s="125"/>
      <c r="F128" s="125"/>
      <c r="G128" s="125"/>
      <c r="H128" s="125"/>
      <c r="I128" s="125"/>
      <c r="J128" s="125"/>
      <c r="K128" s="125"/>
      <c r="L128" s="125"/>
      <c r="M128" s="125"/>
      <c r="N128" s="125"/>
      <c r="O128" s="125"/>
      <c r="P128" s="125"/>
      <c r="Q128" s="125"/>
      <c r="R128" s="125"/>
      <c r="S128" s="125"/>
      <c r="T128" s="125"/>
      <c r="U128" s="125"/>
      <c r="V128" s="125"/>
      <c r="W128" s="125"/>
      <c r="X128" s="125"/>
      <c r="Y128" s="125"/>
      <c r="Z128" s="125"/>
      <c r="AA128" s="125"/>
      <c r="AB128" s="125"/>
      <c r="AC128" s="125"/>
      <c r="AD128" s="125"/>
      <c r="AE128" s="125"/>
      <c r="AF128" s="125"/>
      <c r="AG128" s="125"/>
      <c r="AH128" s="125"/>
      <c r="AI128" s="125"/>
      <c r="AJ128" s="125"/>
      <c r="AK128" s="125"/>
      <c r="AL128" s="125"/>
      <c r="AM128" s="125"/>
      <c r="AN128" s="125"/>
      <c r="AO128" s="125"/>
      <c r="AP128" s="125"/>
      <c r="AQ128" s="125"/>
      <c r="AR128" s="125"/>
      <c r="AS128" s="125"/>
      <c r="AT128" s="125"/>
      <c r="AU128" s="125"/>
      <c r="AV128" s="125"/>
      <c r="AW128" s="125"/>
      <c r="AX128" s="125"/>
      <c r="AY128" s="125"/>
      <c r="AZ128" s="125"/>
      <c r="BA128" s="125"/>
      <c r="BB128" s="125"/>
      <c r="BC128" s="125"/>
      <c r="BD128" s="125"/>
      <c r="BE128" s="125"/>
      <c r="BF128" s="125"/>
      <c r="BG128" s="125"/>
      <c r="BH128" s="125"/>
      <c r="BI128" s="125"/>
      <c r="BJ128" s="125"/>
      <c r="BK128" s="125"/>
      <c r="BL128" s="125"/>
      <c r="BM128" s="125"/>
      <c r="BN128" s="125"/>
      <c r="BO128" s="125"/>
      <c r="BP128" s="125"/>
      <c r="BQ128" s="125"/>
      <c r="BR128" s="125"/>
      <c r="BS128" s="125"/>
      <c r="BT128" s="125"/>
      <c r="BU128" s="125"/>
    </row>
    <row r="129" spans="1:73" ht="12.75">
      <c r="A129" s="125"/>
      <c r="B129" s="125"/>
      <c r="C129" s="125"/>
      <c r="D129" s="125"/>
      <c r="E129" s="125"/>
      <c r="F129" s="125"/>
      <c r="G129" s="125"/>
      <c r="H129" s="125"/>
      <c r="I129" s="125"/>
      <c r="J129" s="125"/>
      <c r="K129" s="125"/>
      <c r="L129" s="125"/>
      <c r="M129" s="125"/>
      <c r="N129" s="125"/>
      <c r="O129" s="125"/>
      <c r="P129" s="125"/>
      <c r="Q129" s="125"/>
      <c r="R129" s="125"/>
      <c r="S129" s="125"/>
      <c r="T129" s="125"/>
      <c r="U129" s="125"/>
      <c r="V129" s="125"/>
      <c r="W129" s="125"/>
      <c r="X129" s="125"/>
      <c r="Y129" s="125"/>
      <c r="Z129" s="125"/>
      <c r="AA129" s="125"/>
      <c r="AB129" s="125"/>
      <c r="AC129" s="125"/>
      <c r="AD129" s="125"/>
      <c r="AE129" s="125"/>
      <c r="AF129" s="125"/>
      <c r="AG129" s="125"/>
      <c r="AH129" s="125"/>
      <c r="AI129" s="125"/>
      <c r="AJ129" s="125"/>
      <c r="AK129" s="125"/>
      <c r="AL129" s="125"/>
      <c r="AM129" s="125"/>
      <c r="AN129" s="125"/>
      <c r="AO129" s="125"/>
      <c r="AP129" s="125"/>
      <c r="AQ129" s="125"/>
      <c r="AR129" s="125"/>
      <c r="AS129" s="125"/>
      <c r="AT129" s="125"/>
      <c r="AU129" s="125"/>
      <c r="AV129" s="125"/>
      <c r="AW129" s="125"/>
      <c r="AX129" s="125"/>
      <c r="AY129" s="125"/>
      <c r="AZ129" s="125"/>
      <c r="BA129" s="125"/>
      <c r="BB129" s="125"/>
      <c r="BC129" s="125"/>
      <c r="BD129" s="125"/>
      <c r="BE129" s="125"/>
      <c r="BF129" s="125"/>
      <c r="BG129" s="125"/>
      <c r="BH129" s="125"/>
      <c r="BI129" s="125"/>
      <c r="BJ129" s="125"/>
      <c r="BK129" s="125"/>
      <c r="BL129" s="125"/>
      <c r="BM129" s="125"/>
      <c r="BN129" s="125"/>
      <c r="BO129" s="125"/>
      <c r="BP129" s="125"/>
      <c r="BQ129" s="125"/>
      <c r="BR129" s="125"/>
      <c r="BS129" s="125"/>
      <c r="BT129" s="125"/>
      <c r="BU129" s="125"/>
    </row>
    <row r="130" spans="1:73" ht="12.75">
      <c r="A130" s="125"/>
      <c r="B130" s="125"/>
      <c r="C130" s="125"/>
      <c r="D130" s="125"/>
      <c r="E130" s="125"/>
      <c r="F130" s="125"/>
      <c r="G130" s="125"/>
      <c r="H130" s="125"/>
      <c r="I130" s="125"/>
      <c r="J130" s="125"/>
      <c r="K130" s="125"/>
      <c r="L130" s="125"/>
      <c r="M130" s="125"/>
      <c r="N130" s="125"/>
      <c r="O130" s="125"/>
      <c r="P130" s="125"/>
      <c r="Q130" s="125"/>
      <c r="R130" s="125"/>
      <c r="S130" s="125"/>
      <c r="T130" s="125"/>
      <c r="U130" s="125"/>
      <c r="V130" s="125"/>
      <c r="W130" s="125"/>
      <c r="X130" s="125"/>
      <c r="Y130" s="125"/>
      <c r="Z130" s="125"/>
      <c r="AA130" s="125"/>
      <c r="AB130" s="125"/>
      <c r="AC130" s="125"/>
      <c r="AD130" s="125"/>
      <c r="AE130" s="125"/>
      <c r="AF130" s="125"/>
      <c r="AG130" s="125"/>
      <c r="AH130" s="125"/>
      <c r="AI130" s="125"/>
      <c r="AJ130" s="125"/>
      <c r="AK130" s="125"/>
      <c r="AL130" s="125"/>
      <c r="AM130" s="125"/>
      <c r="AN130" s="125"/>
      <c r="AO130" s="125"/>
      <c r="AP130" s="125"/>
      <c r="AQ130" s="125"/>
      <c r="AR130" s="125"/>
      <c r="AS130" s="125"/>
      <c r="AT130" s="125"/>
      <c r="AU130" s="125"/>
      <c r="AV130" s="125"/>
      <c r="AW130" s="125"/>
      <c r="AX130" s="125"/>
      <c r="AY130" s="125"/>
      <c r="AZ130" s="125"/>
      <c r="BA130" s="125"/>
      <c r="BB130" s="125"/>
      <c r="BC130" s="125"/>
      <c r="BD130" s="125"/>
      <c r="BE130" s="125"/>
      <c r="BF130" s="125"/>
      <c r="BG130" s="125"/>
      <c r="BH130" s="125"/>
      <c r="BI130" s="125"/>
      <c r="BJ130" s="125"/>
      <c r="BK130" s="125"/>
      <c r="BL130" s="125"/>
      <c r="BM130" s="125"/>
      <c r="BN130" s="125"/>
      <c r="BO130" s="125"/>
      <c r="BP130" s="125"/>
      <c r="BQ130" s="125"/>
      <c r="BR130" s="125"/>
      <c r="BS130" s="125"/>
      <c r="BT130" s="125"/>
      <c r="BU130" s="125"/>
    </row>
    <row r="131" spans="1:73" ht="12.75">
      <c r="A131" s="125"/>
      <c r="B131" s="125"/>
      <c r="C131" s="125"/>
      <c r="D131" s="125"/>
      <c r="E131" s="125"/>
      <c r="F131" s="125"/>
      <c r="G131" s="125"/>
      <c r="H131" s="125"/>
      <c r="I131" s="125"/>
      <c r="J131" s="125"/>
      <c r="K131" s="125"/>
      <c r="L131" s="125"/>
      <c r="M131" s="125"/>
      <c r="N131" s="125"/>
      <c r="O131" s="125"/>
      <c r="P131" s="125"/>
      <c r="Q131" s="125"/>
      <c r="R131" s="125"/>
      <c r="S131" s="125"/>
      <c r="T131" s="125"/>
      <c r="U131" s="125"/>
      <c r="V131" s="125"/>
      <c r="W131" s="125"/>
      <c r="X131" s="125"/>
      <c r="Y131" s="125"/>
      <c r="Z131" s="125"/>
      <c r="AA131" s="125"/>
      <c r="AB131" s="125"/>
      <c r="AC131" s="125"/>
      <c r="AD131" s="125"/>
      <c r="AE131" s="125"/>
      <c r="AF131" s="125"/>
      <c r="AG131" s="125"/>
      <c r="AH131" s="125"/>
      <c r="AI131" s="125"/>
      <c r="AJ131" s="125"/>
      <c r="AK131" s="125"/>
      <c r="AL131" s="125"/>
      <c r="AM131" s="125"/>
      <c r="AN131" s="125"/>
      <c r="AO131" s="125"/>
      <c r="AP131" s="125"/>
      <c r="AQ131" s="125"/>
      <c r="AR131" s="125"/>
      <c r="AS131" s="125"/>
      <c r="AT131" s="125"/>
      <c r="AU131" s="125"/>
      <c r="AV131" s="125"/>
      <c r="AW131" s="125"/>
      <c r="AX131" s="125"/>
      <c r="AY131" s="125"/>
      <c r="AZ131" s="125"/>
      <c r="BA131" s="125"/>
      <c r="BB131" s="125"/>
      <c r="BC131" s="125"/>
      <c r="BD131" s="125"/>
      <c r="BE131" s="125"/>
      <c r="BF131" s="125"/>
      <c r="BG131" s="125"/>
      <c r="BH131" s="125"/>
      <c r="BI131" s="125"/>
      <c r="BJ131" s="125"/>
      <c r="BK131" s="125"/>
      <c r="BL131" s="125"/>
      <c r="BM131" s="125"/>
      <c r="BN131" s="125"/>
      <c r="BO131" s="125"/>
      <c r="BP131" s="125"/>
      <c r="BQ131" s="125"/>
      <c r="BR131" s="125"/>
      <c r="BS131" s="125"/>
      <c r="BT131" s="125"/>
      <c r="BU131" s="125"/>
    </row>
    <row r="132" spans="1:73" ht="12.75">
      <c r="A132" s="125"/>
      <c r="B132" s="125"/>
      <c r="C132" s="125"/>
      <c r="D132" s="125"/>
      <c r="E132" s="125"/>
      <c r="F132" s="125"/>
      <c r="G132" s="125"/>
      <c r="H132" s="125"/>
      <c r="I132" s="125"/>
      <c r="J132" s="125"/>
      <c r="K132" s="125"/>
      <c r="L132" s="125"/>
      <c r="M132" s="125"/>
      <c r="N132" s="125"/>
      <c r="O132" s="125"/>
      <c r="P132" s="125"/>
      <c r="Q132" s="125"/>
      <c r="R132" s="125"/>
      <c r="S132" s="125"/>
      <c r="T132" s="125"/>
      <c r="U132" s="125"/>
      <c r="V132" s="125"/>
      <c r="W132" s="125"/>
      <c r="X132" s="125"/>
      <c r="Y132" s="125"/>
      <c r="Z132" s="125"/>
      <c r="AA132" s="125"/>
      <c r="AB132" s="125"/>
      <c r="AC132" s="125"/>
      <c r="AD132" s="125"/>
      <c r="AE132" s="125"/>
      <c r="AF132" s="125"/>
      <c r="AG132" s="125"/>
      <c r="AH132" s="125"/>
      <c r="AI132" s="125"/>
      <c r="AJ132" s="125"/>
      <c r="AK132" s="125"/>
      <c r="AL132" s="125"/>
      <c r="AM132" s="125"/>
      <c r="AN132" s="125"/>
      <c r="AO132" s="125"/>
      <c r="AP132" s="125"/>
      <c r="AQ132" s="125"/>
      <c r="AR132" s="125"/>
      <c r="AS132" s="125"/>
      <c r="AT132" s="125"/>
      <c r="AU132" s="125"/>
      <c r="AV132" s="125"/>
      <c r="AW132" s="125"/>
      <c r="AX132" s="125"/>
      <c r="AY132" s="125"/>
      <c r="AZ132" s="125"/>
      <c r="BA132" s="125"/>
      <c r="BB132" s="125"/>
      <c r="BC132" s="125"/>
      <c r="BD132" s="125"/>
      <c r="BE132" s="125"/>
      <c r="BF132" s="125"/>
      <c r="BG132" s="125"/>
      <c r="BH132" s="125"/>
      <c r="BI132" s="125"/>
      <c r="BJ132" s="125"/>
      <c r="BK132" s="125"/>
      <c r="BL132" s="125"/>
      <c r="BM132" s="125"/>
      <c r="BN132" s="125"/>
      <c r="BO132" s="125"/>
      <c r="BP132" s="125"/>
      <c r="BQ132" s="125"/>
      <c r="BR132" s="125"/>
      <c r="BS132" s="125"/>
      <c r="BT132" s="125"/>
      <c r="BU132" s="125"/>
    </row>
    <row r="133" spans="1:73" ht="12.75">
      <c r="A133" s="125"/>
      <c r="B133" s="125"/>
      <c r="C133" s="125"/>
      <c r="D133" s="125"/>
      <c r="E133" s="125"/>
      <c r="F133" s="125"/>
      <c r="G133" s="125"/>
      <c r="H133" s="125"/>
      <c r="I133" s="125"/>
      <c r="J133" s="125"/>
      <c r="K133" s="125"/>
      <c r="L133" s="125"/>
      <c r="M133" s="125"/>
      <c r="N133" s="125"/>
      <c r="O133" s="125"/>
      <c r="P133" s="125"/>
      <c r="Q133" s="125"/>
      <c r="R133" s="125"/>
      <c r="S133" s="125"/>
      <c r="T133" s="125"/>
      <c r="U133" s="125"/>
      <c r="V133" s="125"/>
      <c r="W133" s="125"/>
      <c r="X133" s="125"/>
      <c r="Y133" s="125"/>
      <c r="Z133" s="125"/>
      <c r="AA133" s="125"/>
      <c r="AB133" s="125"/>
      <c r="AC133" s="125"/>
      <c r="AD133" s="125"/>
      <c r="AE133" s="125"/>
      <c r="AF133" s="125"/>
      <c r="AG133" s="125"/>
      <c r="AH133" s="125"/>
      <c r="AI133" s="125"/>
      <c r="AJ133" s="125"/>
      <c r="AK133" s="125"/>
      <c r="AL133" s="125"/>
      <c r="AM133" s="125"/>
      <c r="AN133" s="125"/>
      <c r="AO133" s="125"/>
      <c r="AP133" s="125"/>
      <c r="AQ133" s="125"/>
      <c r="AR133" s="125"/>
      <c r="AS133" s="125"/>
      <c r="AT133" s="125"/>
      <c r="AU133" s="125"/>
      <c r="AV133" s="125"/>
      <c r="AW133" s="125"/>
      <c r="AX133" s="125"/>
      <c r="AY133" s="125"/>
      <c r="AZ133" s="125"/>
      <c r="BA133" s="125"/>
      <c r="BB133" s="125"/>
      <c r="BC133" s="125"/>
      <c r="BD133" s="125"/>
      <c r="BE133" s="125"/>
      <c r="BF133" s="125"/>
      <c r="BG133" s="125"/>
      <c r="BH133" s="125"/>
      <c r="BI133" s="125"/>
      <c r="BJ133" s="125"/>
      <c r="BK133" s="125"/>
      <c r="BL133" s="125"/>
      <c r="BM133" s="125"/>
      <c r="BN133" s="125"/>
      <c r="BO133" s="125"/>
      <c r="BP133" s="125"/>
      <c r="BQ133" s="125"/>
      <c r="BR133" s="125"/>
      <c r="BS133" s="125"/>
      <c r="BT133" s="125"/>
      <c r="BU133" s="125"/>
    </row>
    <row r="134" spans="1:73" ht="12.75">
      <c r="A134" s="125"/>
      <c r="B134" s="125"/>
      <c r="C134" s="125"/>
      <c r="D134" s="125"/>
      <c r="E134" s="125"/>
      <c r="F134" s="125"/>
      <c r="G134" s="125"/>
      <c r="H134" s="125"/>
      <c r="I134" s="125"/>
      <c r="J134" s="125"/>
      <c r="K134" s="125"/>
      <c r="L134" s="125"/>
      <c r="M134" s="125"/>
      <c r="N134" s="125"/>
      <c r="O134" s="125"/>
      <c r="P134" s="125"/>
      <c r="Q134" s="125"/>
      <c r="R134" s="125"/>
      <c r="S134" s="125"/>
      <c r="T134" s="125"/>
      <c r="U134" s="125"/>
      <c r="V134" s="125"/>
      <c r="W134" s="125"/>
      <c r="X134" s="125"/>
      <c r="Y134" s="125"/>
      <c r="Z134" s="125"/>
      <c r="AA134" s="125"/>
      <c r="AB134" s="125"/>
      <c r="AC134" s="125"/>
      <c r="AD134" s="125"/>
      <c r="AE134" s="125"/>
      <c r="AF134" s="125"/>
      <c r="AG134" s="125"/>
      <c r="AH134" s="125"/>
      <c r="AI134" s="125"/>
      <c r="AJ134" s="125"/>
      <c r="AK134" s="125"/>
      <c r="AL134" s="125"/>
      <c r="AM134" s="125"/>
      <c r="AN134" s="125"/>
      <c r="AO134" s="125"/>
      <c r="AP134" s="125"/>
      <c r="AQ134" s="125"/>
      <c r="AR134" s="125"/>
      <c r="AS134" s="125"/>
      <c r="AT134" s="125"/>
      <c r="AU134" s="125"/>
      <c r="AV134" s="125"/>
      <c r="AW134" s="125"/>
      <c r="AX134" s="125"/>
      <c r="AY134" s="125"/>
      <c r="AZ134" s="125"/>
      <c r="BA134" s="125"/>
      <c r="BB134" s="125"/>
      <c r="BC134" s="125"/>
      <c r="BD134" s="125"/>
      <c r="BE134" s="125"/>
      <c r="BF134" s="125"/>
      <c r="BG134" s="125"/>
      <c r="BH134" s="125"/>
      <c r="BI134" s="125"/>
      <c r="BJ134" s="125"/>
      <c r="BK134" s="125"/>
      <c r="BL134" s="125"/>
      <c r="BM134" s="125"/>
      <c r="BN134" s="125"/>
      <c r="BO134" s="125"/>
      <c r="BP134" s="125"/>
      <c r="BQ134" s="125"/>
      <c r="BR134" s="125"/>
      <c r="BS134" s="125"/>
      <c r="BT134" s="125"/>
      <c r="BU134" s="125"/>
    </row>
    <row r="135" spans="1:73" ht="12.75">
      <c r="A135" s="125"/>
      <c r="B135" s="125"/>
      <c r="C135" s="125"/>
      <c r="D135" s="125"/>
      <c r="E135" s="125"/>
      <c r="F135" s="125"/>
      <c r="G135" s="125"/>
      <c r="H135" s="125"/>
      <c r="I135" s="125"/>
      <c r="J135" s="125"/>
      <c r="K135" s="125"/>
      <c r="L135" s="125"/>
      <c r="M135" s="125"/>
      <c r="N135" s="125"/>
      <c r="O135" s="125"/>
      <c r="P135" s="125"/>
      <c r="Q135" s="125"/>
      <c r="R135" s="125"/>
      <c r="S135" s="125"/>
      <c r="T135" s="125"/>
      <c r="U135" s="125"/>
      <c r="V135" s="125"/>
      <c r="W135" s="125"/>
      <c r="X135" s="125"/>
      <c r="Y135" s="125"/>
      <c r="Z135" s="125"/>
      <c r="AA135" s="125"/>
      <c r="AB135" s="125"/>
      <c r="AC135" s="125"/>
      <c r="AD135" s="125"/>
      <c r="AE135" s="125"/>
      <c r="AF135" s="125"/>
      <c r="AG135" s="125"/>
      <c r="AH135" s="125"/>
      <c r="AI135" s="125"/>
      <c r="AJ135" s="125"/>
      <c r="AK135" s="125"/>
      <c r="AL135" s="125"/>
      <c r="AM135" s="125"/>
      <c r="AN135" s="125"/>
      <c r="AO135" s="125"/>
      <c r="AP135" s="125"/>
      <c r="AQ135" s="125"/>
      <c r="AR135" s="125"/>
      <c r="AS135" s="125"/>
      <c r="AT135" s="125"/>
      <c r="AU135" s="125"/>
      <c r="AV135" s="125"/>
      <c r="AW135" s="125"/>
      <c r="AX135" s="125"/>
      <c r="AY135" s="125"/>
      <c r="AZ135" s="125"/>
      <c r="BA135" s="125"/>
      <c r="BB135" s="125"/>
      <c r="BC135" s="125"/>
      <c r="BD135" s="125"/>
      <c r="BE135" s="125"/>
      <c r="BF135" s="125"/>
      <c r="BG135" s="125"/>
      <c r="BH135" s="125"/>
      <c r="BI135" s="125"/>
      <c r="BJ135" s="125"/>
      <c r="BK135" s="125"/>
      <c r="BL135" s="125"/>
      <c r="BM135" s="125"/>
      <c r="BN135" s="125"/>
      <c r="BO135" s="125"/>
      <c r="BP135" s="125"/>
      <c r="BQ135" s="125"/>
      <c r="BR135" s="125"/>
      <c r="BS135" s="125"/>
      <c r="BT135" s="125"/>
      <c r="BU135" s="125"/>
    </row>
    <row r="136" spans="1:73" ht="12.75">
      <c r="A136" s="125"/>
      <c r="B136" s="125"/>
      <c r="C136" s="125"/>
      <c r="D136" s="125"/>
      <c r="E136" s="125"/>
      <c r="F136" s="125"/>
      <c r="G136" s="125"/>
      <c r="H136" s="125"/>
      <c r="I136" s="125"/>
      <c r="J136" s="125"/>
      <c r="K136" s="125"/>
      <c r="L136" s="125"/>
      <c r="M136" s="125"/>
      <c r="N136" s="125"/>
      <c r="O136" s="125"/>
      <c r="P136" s="125"/>
      <c r="Q136" s="125"/>
      <c r="R136" s="125"/>
      <c r="S136" s="125"/>
      <c r="T136" s="125"/>
      <c r="U136" s="125"/>
      <c r="V136" s="125"/>
      <c r="W136" s="125"/>
      <c r="X136" s="125"/>
      <c r="Y136" s="125"/>
      <c r="Z136" s="125"/>
      <c r="AA136" s="125"/>
      <c r="AB136" s="125"/>
      <c r="AC136" s="125"/>
      <c r="AD136" s="125"/>
      <c r="AE136" s="125"/>
      <c r="AF136" s="125"/>
      <c r="AG136" s="125"/>
      <c r="AH136" s="125"/>
      <c r="AI136" s="125"/>
      <c r="AJ136" s="125"/>
      <c r="AK136" s="125"/>
      <c r="AL136" s="125"/>
      <c r="AM136" s="125"/>
      <c r="AN136" s="125"/>
      <c r="AO136" s="125"/>
      <c r="AP136" s="125"/>
      <c r="AQ136" s="125"/>
      <c r="AR136" s="125"/>
      <c r="AS136" s="125"/>
      <c r="AT136" s="125"/>
      <c r="AU136" s="125"/>
      <c r="AV136" s="125"/>
      <c r="AW136" s="125"/>
      <c r="AX136" s="125"/>
      <c r="AY136" s="125"/>
      <c r="AZ136" s="125"/>
      <c r="BA136" s="125"/>
      <c r="BB136" s="125"/>
      <c r="BC136" s="125"/>
      <c r="BD136" s="125"/>
      <c r="BE136" s="125"/>
      <c r="BF136" s="125"/>
      <c r="BG136" s="125"/>
      <c r="BH136" s="125"/>
      <c r="BI136" s="125"/>
      <c r="BJ136" s="125"/>
      <c r="BK136" s="125"/>
      <c r="BL136" s="125"/>
      <c r="BM136" s="125"/>
      <c r="BN136" s="125"/>
      <c r="BO136" s="125"/>
      <c r="BP136" s="125"/>
      <c r="BQ136" s="125"/>
      <c r="BR136" s="125"/>
      <c r="BS136" s="125"/>
      <c r="BT136" s="125"/>
      <c r="BU136" s="125"/>
    </row>
    <row r="137" spans="1:73" ht="12.75">
      <c r="A137" s="125"/>
      <c r="B137" s="125"/>
      <c r="C137" s="125"/>
      <c r="D137" s="125"/>
      <c r="E137" s="125"/>
      <c r="F137" s="125"/>
      <c r="G137" s="125"/>
      <c r="H137" s="125"/>
      <c r="I137" s="125"/>
      <c r="J137" s="125"/>
      <c r="K137" s="125"/>
      <c r="L137" s="125"/>
      <c r="M137" s="125"/>
      <c r="N137" s="125"/>
      <c r="O137" s="125"/>
      <c r="P137" s="125"/>
      <c r="Q137" s="125"/>
      <c r="R137" s="125"/>
      <c r="S137" s="125"/>
      <c r="T137" s="125"/>
      <c r="U137" s="125"/>
      <c r="V137" s="125"/>
      <c r="W137" s="125"/>
      <c r="X137" s="125"/>
      <c r="Y137" s="125"/>
      <c r="Z137" s="125"/>
      <c r="AA137" s="125"/>
      <c r="AB137" s="125"/>
      <c r="AC137" s="125"/>
      <c r="AD137" s="125"/>
      <c r="AE137" s="125"/>
      <c r="AF137" s="125"/>
      <c r="AG137" s="125"/>
      <c r="AH137" s="125"/>
      <c r="AI137" s="125"/>
      <c r="AJ137" s="125"/>
      <c r="AK137" s="125"/>
      <c r="AL137" s="125"/>
      <c r="AM137" s="125"/>
      <c r="AN137" s="125"/>
      <c r="AO137" s="125"/>
      <c r="AP137" s="125"/>
      <c r="AQ137" s="125"/>
      <c r="AR137" s="125"/>
      <c r="AS137" s="125"/>
      <c r="AT137" s="125"/>
      <c r="AU137" s="125"/>
      <c r="AV137" s="125"/>
      <c r="AW137" s="125"/>
      <c r="AX137" s="125"/>
      <c r="AY137" s="125"/>
      <c r="AZ137" s="125"/>
      <c r="BA137" s="125"/>
      <c r="BB137" s="125"/>
      <c r="BC137" s="125"/>
      <c r="BD137" s="125"/>
      <c r="BE137" s="125"/>
      <c r="BF137" s="125"/>
      <c r="BG137" s="125"/>
      <c r="BH137" s="125"/>
      <c r="BI137" s="125"/>
      <c r="BJ137" s="125"/>
      <c r="BK137" s="125"/>
      <c r="BL137" s="125"/>
      <c r="BM137" s="125"/>
      <c r="BN137" s="125"/>
      <c r="BO137" s="125"/>
      <c r="BP137" s="125"/>
      <c r="BQ137" s="125"/>
      <c r="BR137" s="125"/>
      <c r="BS137" s="125"/>
      <c r="BT137" s="125"/>
      <c r="BU137" s="125"/>
    </row>
    <row r="138" spans="1:73" ht="12.75">
      <c r="A138" s="125"/>
      <c r="B138" s="125"/>
      <c r="C138" s="125"/>
      <c r="D138" s="125"/>
      <c r="E138" s="125"/>
      <c r="F138" s="125"/>
      <c r="G138" s="125"/>
      <c r="H138" s="125"/>
      <c r="I138" s="125"/>
      <c r="J138" s="125"/>
      <c r="K138" s="125"/>
      <c r="L138" s="125"/>
      <c r="M138" s="125"/>
      <c r="N138" s="125"/>
      <c r="O138" s="125"/>
      <c r="P138" s="125"/>
      <c r="Q138" s="125"/>
      <c r="R138" s="125"/>
      <c r="S138" s="125"/>
      <c r="T138" s="125"/>
      <c r="U138" s="125"/>
      <c r="V138" s="125"/>
      <c r="W138" s="125"/>
      <c r="X138" s="125"/>
      <c r="Y138" s="125"/>
      <c r="Z138" s="125"/>
      <c r="AA138" s="125"/>
      <c r="AB138" s="125"/>
      <c r="AC138" s="125"/>
      <c r="AD138" s="125"/>
      <c r="AE138" s="125"/>
      <c r="AF138" s="125"/>
      <c r="AG138" s="125"/>
      <c r="AH138" s="125"/>
      <c r="AI138" s="125"/>
      <c r="AJ138" s="125"/>
      <c r="AK138" s="125"/>
      <c r="AL138" s="125"/>
      <c r="AM138" s="125"/>
      <c r="AN138" s="125"/>
      <c r="AO138" s="125"/>
      <c r="AP138" s="125"/>
      <c r="AQ138" s="125"/>
      <c r="AR138" s="125"/>
      <c r="AS138" s="125"/>
      <c r="AT138" s="125"/>
      <c r="AU138" s="125"/>
      <c r="AV138" s="125"/>
      <c r="AW138" s="125"/>
      <c r="AX138" s="125"/>
      <c r="AY138" s="125"/>
      <c r="AZ138" s="125"/>
      <c r="BA138" s="125"/>
      <c r="BB138" s="125"/>
      <c r="BC138" s="125"/>
      <c r="BD138" s="125"/>
      <c r="BE138" s="125"/>
      <c r="BF138" s="125"/>
      <c r="BG138" s="125"/>
      <c r="BH138" s="125"/>
      <c r="BI138" s="125"/>
      <c r="BJ138" s="125"/>
      <c r="BK138" s="125"/>
      <c r="BL138" s="125"/>
      <c r="BM138" s="125"/>
      <c r="BN138" s="125"/>
      <c r="BO138" s="125"/>
      <c r="BP138" s="125"/>
      <c r="BQ138" s="125"/>
      <c r="BR138" s="125"/>
      <c r="BS138" s="125"/>
      <c r="BT138" s="125"/>
      <c r="BU138" s="125"/>
    </row>
    <row r="139" spans="1:73" ht="12.75">
      <c r="A139" s="125"/>
      <c r="B139" s="125"/>
      <c r="C139" s="125"/>
      <c r="D139" s="125"/>
      <c r="E139" s="125"/>
      <c r="F139" s="125"/>
      <c r="G139" s="125"/>
      <c r="H139" s="125"/>
      <c r="I139" s="125"/>
      <c r="J139" s="125"/>
      <c r="K139" s="125"/>
      <c r="L139" s="125"/>
      <c r="M139" s="125"/>
      <c r="N139" s="125"/>
      <c r="O139" s="125"/>
      <c r="P139" s="125"/>
      <c r="Q139" s="125"/>
      <c r="R139" s="125"/>
      <c r="S139" s="125"/>
      <c r="T139" s="125"/>
      <c r="U139" s="125"/>
      <c r="V139" s="125"/>
      <c r="W139" s="125"/>
      <c r="X139" s="125"/>
      <c r="Y139" s="125"/>
      <c r="Z139" s="125"/>
      <c r="AA139" s="125"/>
      <c r="AB139" s="125"/>
      <c r="AC139" s="125"/>
      <c r="AD139" s="125"/>
      <c r="AE139" s="125"/>
      <c r="AF139" s="125"/>
      <c r="AG139" s="125"/>
      <c r="AH139" s="125"/>
      <c r="AI139" s="125"/>
      <c r="AJ139" s="125"/>
      <c r="AK139" s="125"/>
      <c r="AL139" s="125"/>
      <c r="AM139" s="125"/>
      <c r="AN139" s="125"/>
      <c r="AO139" s="125"/>
      <c r="AP139" s="125"/>
      <c r="AQ139" s="125"/>
      <c r="AR139" s="125"/>
      <c r="AS139" s="125"/>
      <c r="AT139" s="125"/>
      <c r="AU139" s="125"/>
      <c r="AV139" s="125"/>
      <c r="AW139" s="125"/>
      <c r="AX139" s="125"/>
      <c r="AY139" s="125"/>
      <c r="AZ139" s="125"/>
      <c r="BA139" s="125"/>
      <c r="BB139" s="125"/>
      <c r="BC139" s="125"/>
      <c r="BD139" s="125"/>
      <c r="BE139" s="125"/>
      <c r="BF139" s="125"/>
      <c r="BG139" s="125"/>
      <c r="BH139" s="125"/>
      <c r="BI139" s="125"/>
      <c r="BJ139" s="125"/>
      <c r="BK139" s="125"/>
      <c r="BL139" s="125"/>
      <c r="BM139" s="125"/>
      <c r="BN139" s="125"/>
      <c r="BO139" s="125"/>
      <c r="BP139" s="125"/>
      <c r="BQ139" s="125"/>
      <c r="BR139" s="125"/>
      <c r="BS139" s="125"/>
      <c r="BT139" s="125"/>
      <c r="BU139" s="125"/>
    </row>
    <row r="140" spans="1:73" ht="12.75">
      <c r="A140" s="125"/>
      <c r="B140" s="125"/>
      <c r="C140" s="125"/>
      <c r="D140" s="125"/>
      <c r="E140" s="125"/>
      <c r="F140" s="125"/>
      <c r="G140" s="125"/>
      <c r="H140" s="125"/>
      <c r="I140" s="125"/>
      <c r="J140" s="125"/>
      <c r="K140" s="125"/>
      <c r="L140" s="125"/>
      <c r="M140" s="125"/>
      <c r="N140" s="125"/>
      <c r="O140" s="125"/>
      <c r="P140" s="125"/>
      <c r="Q140" s="125"/>
      <c r="R140" s="125"/>
      <c r="S140" s="125"/>
      <c r="T140" s="125"/>
      <c r="U140" s="125"/>
      <c r="V140" s="125"/>
      <c r="W140" s="125"/>
      <c r="X140" s="125"/>
      <c r="Y140" s="125"/>
      <c r="Z140" s="125"/>
      <c r="AA140" s="125"/>
      <c r="AB140" s="125"/>
      <c r="AC140" s="125"/>
      <c r="AD140" s="125"/>
      <c r="AE140" s="125"/>
      <c r="AF140" s="125"/>
      <c r="AG140" s="125"/>
      <c r="AH140" s="125"/>
      <c r="AI140" s="125"/>
      <c r="AJ140" s="125"/>
      <c r="AK140" s="125"/>
      <c r="AL140" s="125"/>
      <c r="AM140" s="125"/>
      <c r="AN140" s="125"/>
      <c r="AO140" s="125"/>
      <c r="AP140" s="125"/>
      <c r="AQ140" s="125"/>
      <c r="AR140" s="125"/>
      <c r="AS140" s="125"/>
      <c r="AT140" s="125"/>
      <c r="AU140" s="125"/>
      <c r="AV140" s="125"/>
      <c r="AW140" s="125"/>
      <c r="AX140" s="125"/>
      <c r="AY140" s="125"/>
      <c r="AZ140" s="125"/>
      <c r="BA140" s="125"/>
      <c r="BB140" s="125"/>
      <c r="BC140" s="125"/>
      <c r="BD140" s="125"/>
      <c r="BE140" s="125"/>
      <c r="BF140" s="125"/>
      <c r="BG140" s="125"/>
      <c r="BH140" s="125"/>
      <c r="BI140" s="125"/>
      <c r="BJ140" s="125"/>
      <c r="BK140" s="125"/>
      <c r="BL140" s="125"/>
      <c r="BM140" s="125"/>
      <c r="BN140" s="125"/>
      <c r="BO140" s="125"/>
      <c r="BP140" s="125"/>
      <c r="BQ140" s="125"/>
      <c r="BR140" s="125"/>
      <c r="BS140" s="125"/>
      <c r="BT140" s="125"/>
      <c r="BU140" s="125"/>
    </row>
    <row r="141" spans="1:73" ht="12.75">
      <c r="A141" s="125"/>
      <c r="B141" s="125"/>
      <c r="C141" s="125"/>
      <c r="D141" s="125"/>
      <c r="E141" s="125"/>
      <c r="F141" s="125"/>
      <c r="G141" s="125"/>
      <c r="H141" s="125"/>
      <c r="I141" s="125"/>
      <c r="J141" s="125"/>
      <c r="K141" s="125"/>
      <c r="L141" s="125"/>
      <c r="M141" s="125"/>
      <c r="N141" s="125"/>
      <c r="O141" s="125"/>
      <c r="P141" s="125"/>
      <c r="Q141" s="125"/>
      <c r="R141" s="125"/>
      <c r="S141" s="125"/>
      <c r="T141" s="125"/>
      <c r="U141" s="125"/>
      <c r="V141" s="125"/>
      <c r="W141" s="125"/>
      <c r="X141" s="125"/>
      <c r="Y141" s="125"/>
      <c r="Z141" s="125"/>
      <c r="AA141" s="125"/>
      <c r="AB141" s="125"/>
      <c r="AC141" s="125"/>
      <c r="AD141" s="125"/>
      <c r="AE141" s="125"/>
      <c r="AF141" s="125"/>
      <c r="AG141" s="125"/>
      <c r="AH141" s="125"/>
      <c r="AI141" s="125"/>
      <c r="AJ141" s="125"/>
      <c r="AK141" s="125"/>
      <c r="AL141" s="125"/>
      <c r="AM141" s="125"/>
      <c r="AN141" s="125"/>
      <c r="AO141" s="125"/>
      <c r="AP141" s="125"/>
      <c r="AQ141" s="125"/>
      <c r="AR141" s="125"/>
      <c r="AS141" s="125"/>
      <c r="AT141" s="125"/>
      <c r="AU141" s="125"/>
      <c r="AV141" s="125"/>
      <c r="AW141" s="125"/>
      <c r="AX141" s="125"/>
      <c r="AY141" s="125"/>
      <c r="AZ141" s="125"/>
      <c r="BA141" s="125"/>
      <c r="BB141" s="125"/>
      <c r="BC141" s="125"/>
      <c r="BD141" s="125"/>
      <c r="BE141" s="125"/>
      <c r="BF141" s="125"/>
      <c r="BG141" s="125"/>
      <c r="BH141" s="125"/>
      <c r="BI141" s="125"/>
      <c r="BJ141" s="125"/>
      <c r="BK141" s="125"/>
      <c r="BL141" s="125"/>
      <c r="BM141" s="125"/>
      <c r="BN141" s="125"/>
      <c r="BO141" s="125"/>
      <c r="BP141" s="125"/>
      <c r="BQ141" s="125"/>
      <c r="BR141" s="125"/>
      <c r="BS141" s="125"/>
      <c r="BT141" s="125"/>
      <c r="BU141" s="125"/>
    </row>
    <row r="142" spans="1:73" ht="12.75">
      <c r="A142" s="125"/>
      <c r="B142" s="125"/>
      <c r="C142" s="125"/>
      <c r="D142" s="125"/>
      <c r="E142" s="125"/>
      <c r="F142" s="125"/>
      <c r="G142" s="125"/>
      <c r="H142" s="125"/>
      <c r="I142" s="125"/>
      <c r="J142" s="125"/>
      <c r="K142" s="125"/>
      <c r="L142" s="125"/>
      <c r="M142" s="125"/>
      <c r="N142" s="125"/>
      <c r="O142" s="125"/>
      <c r="P142" s="125"/>
      <c r="Q142" s="125"/>
      <c r="R142" s="125"/>
      <c r="S142" s="125"/>
      <c r="T142" s="125"/>
      <c r="U142" s="125"/>
      <c r="V142" s="125"/>
      <c r="W142" s="125"/>
      <c r="X142" s="125"/>
      <c r="Y142" s="125"/>
      <c r="Z142" s="125"/>
      <c r="AA142" s="125"/>
      <c r="AB142" s="125"/>
      <c r="AC142" s="125"/>
      <c r="AD142" s="125"/>
      <c r="AE142" s="125"/>
      <c r="AF142" s="125"/>
      <c r="AG142" s="125"/>
      <c r="AH142" s="125"/>
      <c r="AI142" s="125"/>
      <c r="AJ142" s="125"/>
      <c r="AK142" s="125"/>
      <c r="AL142" s="125"/>
      <c r="AM142" s="125"/>
      <c r="AN142" s="125"/>
      <c r="AO142" s="125"/>
      <c r="AP142" s="125"/>
      <c r="AQ142" s="125"/>
      <c r="AR142" s="125"/>
      <c r="AS142" s="125"/>
      <c r="AT142" s="125"/>
      <c r="AU142" s="125"/>
      <c r="AV142" s="125"/>
      <c r="AW142" s="125"/>
      <c r="AX142" s="125"/>
      <c r="AY142" s="125"/>
      <c r="AZ142" s="125"/>
      <c r="BA142" s="125"/>
      <c r="BB142" s="125"/>
      <c r="BC142" s="125"/>
      <c r="BD142" s="125"/>
      <c r="BE142" s="125"/>
      <c r="BF142" s="125"/>
      <c r="BG142" s="125"/>
      <c r="BH142" s="125"/>
      <c r="BI142" s="125"/>
      <c r="BJ142" s="125"/>
      <c r="BK142" s="125"/>
      <c r="BL142" s="125"/>
      <c r="BM142" s="125"/>
      <c r="BN142" s="125"/>
      <c r="BO142" s="125"/>
      <c r="BP142" s="125"/>
      <c r="BQ142" s="125"/>
      <c r="BR142" s="125"/>
      <c r="BS142" s="125"/>
      <c r="BT142" s="125"/>
      <c r="BU142" s="125"/>
    </row>
    <row r="143" spans="1:73" ht="12.75">
      <c r="A143" s="125"/>
      <c r="B143" s="125"/>
      <c r="C143" s="125"/>
      <c r="D143" s="125"/>
      <c r="E143" s="125"/>
      <c r="F143" s="125"/>
      <c r="G143" s="125"/>
      <c r="H143" s="125"/>
      <c r="I143" s="125"/>
      <c r="J143" s="125"/>
      <c r="K143" s="125"/>
      <c r="L143" s="125"/>
      <c r="M143" s="125"/>
      <c r="N143" s="125"/>
      <c r="O143" s="125"/>
      <c r="P143" s="125"/>
      <c r="Q143" s="125"/>
      <c r="R143" s="125"/>
      <c r="S143" s="125"/>
      <c r="T143" s="125"/>
      <c r="U143" s="125"/>
      <c r="V143" s="125"/>
      <c r="W143" s="125"/>
      <c r="X143" s="125"/>
      <c r="Y143" s="125"/>
      <c r="Z143" s="125"/>
      <c r="AA143" s="125"/>
      <c r="AB143" s="125"/>
      <c r="AC143" s="125"/>
      <c r="AD143" s="125"/>
      <c r="AE143" s="125"/>
      <c r="AF143" s="125"/>
      <c r="AG143" s="125"/>
      <c r="AH143" s="125"/>
      <c r="AI143" s="125"/>
      <c r="AJ143" s="125"/>
      <c r="AK143" s="125"/>
      <c r="AL143" s="125"/>
      <c r="AM143" s="125"/>
      <c r="AN143" s="125"/>
      <c r="AO143" s="125"/>
      <c r="AP143" s="125"/>
      <c r="AQ143" s="125"/>
      <c r="AR143" s="125"/>
      <c r="AS143" s="125"/>
      <c r="AT143" s="125"/>
      <c r="AU143" s="125"/>
      <c r="AV143" s="125"/>
      <c r="AW143" s="125"/>
      <c r="AX143" s="125"/>
      <c r="AY143" s="125"/>
      <c r="AZ143" s="125"/>
      <c r="BA143" s="125"/>
      <c r="BB143" s="125"/>
      <c r="BC143" s="125"/>
      <c r="BD143" s="125"/>
      <c r="BE143" s="125"/>
      <c r="BF143" s="125"/>
      <c r="BG143" s="125"/>
      <c r="BH143" s="125"/>
      <c r="BI143" s="125"/>
      <c r="BJ143" s="125"/>
      <c r="BK143" s="125"/>
      <c r="BL143" s="125"/>
      <c r="BM143" s="125"/>
      <c r="BN143" s="125"/>
      <c r="BO143" s="125"/>
      <c r="BP143" s="125"/>
      <c r="BQ143" s="125"/>
      <c r="BR143" s="125"/>
      <c r="BS143" s="125"/>
      <c r="BT143" s="125"/>
      <c r="BU143" s="125"/>
    </row>
    <row r="144" spans="1:73" ht="12.75">
      <c r="A144" s="125"/>
      <c r="B144" s="125"/>
      <c r="C144" s="125"/>
      <c r="D144" s="125"/>
      <c r="E144" s="125"/>
      <c r="F144" s="125"/>
      <c r="G144" s="125"/>
      <c r="H144" s="125"/>
      <c r="I144" s="125"/>
      <c r="J144" s="125"/>
      <c r="K144" s="125"/>
      <c r="L144" s="125"/>
      <c r="M144" s="125"/>
      <c r="N144" s="125"/>
      <c r="O144" s="125"/>
      <c r="P144" s="125"/>
      <c r="Q144" s="125"/>
      <c r="R144" s="125"/>
      <c r="S144" s="125"/>
      <c r="T144" s="125"/>
      <c r="U144" s="125"/>
      <c r="V144" s="125"/>
      <c r="W144" s="125"/>
      <c r="X144" s="125"/>
      <c r="Y144" s="125"/>
      <c r="Z144" s="125"/>
      <c r="AA144" s="125"/>
      <c r="AB144" s="125"/>
      <c r="AC144" s="125"/>
      <c r="AD144" s="125"/>
      <c r="AE144" s="125"/>
      <c r="AF144" s="125"/>
      <c r="AG144" s="125"/>
      <c r="AH144" s="125"/>
      <c r="AI144" s="125"/>
      <c r="AJ144" s="125"/>
      <c r="AK144" s="125"/>
      <c r="AL144" s="125"/>
      <c r="AM144" s="125"/>
      <c r="AN144" s="125"/>
      <c r="AO144" s="125"/>
      <c r="AP144" s="125"/>
      <c r="AQ144" s="125"/>
      <c r="AR144" s="125"/>
      <c r="AS144" s="125"/>
      <c r="AT144" s="125"/>
      <c r="AU144" s="125"/>
      <c r="AV144" s="125"/>
      <c r="AW144" s="125"/>
      <c r="AX144" s="125"/>
      <c r="AY144" s="125"/>
      <c r="AZ144" s="125"/>
      <c r="BA144" s="125"/>
      <c r="BB144" s="125"/>
      <c r="BC144" s="125"/>
      <c r="BD144" s="125"/>
      <c r="BE144" s="125"/>
      <c r="BF144" s="125"/>
      <c r="BG144" s="125"/>
      <c r="BH144" s="125"/>
      <c r="BI144" s="125"/>
      <c r="BJ144" s="125"/>
      <c r="BK144" s="125"/>
      <c r="BL144" s="125"/>
      <c r="BM144" s="125"/>
      <c r="BN144" s="125"/>
      <c r="BO144" s="125"/>
      <c r="BP144" s="125"/>
      <c r="BQ144" s="125"/>
      <c r="BR144" s="125"/>
      <c r="BS144" s="125"/>
      <c r="BT144" s="125"/>
      <c r="BU144" s="125"/>
    </row>
    <row r="145" spans="1:73" ht="12.75">
      <c r="A145" s="125"/>
      <c r="B145" s="125"/>
      <c r="C145" s="125"/>
      <c r="D145" s="125"/>
      <c r="E145" s="125"/>
      <c r="F145" s="125"/>
      <c r="G145" s="125"/>
      <c r="H145" s="125"/>
      <c r="I145" s="125"/>
      <c r="J145" s="125"/>
      <c r="K145" s="125"/>
      <c r="L145" s="125"/>
      <c r="M145" s="125"/>
      <c r="N145" s="125"/>
      <c r="O145" s="125"/>
      <c r="P145" s="125"/>
      <c r="Q145" s="125"/>
      <c r="R145" s="125"/>
      <c r="S145" s="125"/>
      <c r="T145" s="125"/>
      <c r="U145" s="125"/>
      <c r="V145" s="125"/>
      <c r="W145" s="125"/>
      <c r="X145" s="125"/>
      <c r="Y145" s="125"/>
      <c r="Z145" s="125"/>
      <c r="AA145" s="125"/>
      <c r="AB145" s="125"/>
      <c r="AC145" s="125"/>
      <c r="AD145" s="125"/>
      <c r="AE145" s="125"/>
      <c r="AF145" s="125"/>
      <c r="AG145" s="125"/>
      <c r="AH145" s="125"/>
      <c r="AI145" s="125"/>
      <c r="AJ145" s="125"/>
      <c r="AK145" s="125"/>
      <c r="AL145" s="125"/>
      <c r="AM145" s="125"/>
      <c r="AN145" s="125"/>
      <c r="AO145" s="125"/>
      <c r="AP145" s="125"/>
      <c r="AQ145" s="125"/>
      <c r="AR145" s="125"/>
      <c r="AS145" s="125"/>
      <c r="AT145" s="125"/>
      <c r="AU145" s="125"/>
      <c r="AV145" s="125"/>
      <c r="AW145" s="125"/>
      <c r="AX145" s="125"/>
      <c r="AY145" s="125"/>
      <c r="AZ145" s="125"/>
      <c r="BA145" s="125"/>
      <c r="BB145" s="125"/>
      <c r="BC145" s="125"/>
      <c r="BD145" s="125"/>
      <c r="BE145" s="125"/>
      <c r="BF145" s="125"/>
      <c r="BG145" s="125"/>
      <c r="BH145" s="125"/>
      <c r="BI145" s="125"/>
      <c r="BJ145" s="125"/>
      <c r="BK145" s="125"/>
      <c r="BL145" s="125"/>
      <c r="BM145" s="125"/>
      <c r="BN145" s="125"/>
      <c r="BO145" s="125"/>
      <c r="BP145" s="125"/>
      <c r="BQ145" s="125"/>
      <c r="BR145" s="125"/>
      <c r="BS145" s="125"/>
      <c r="BT145" s="125"/>
      <c r="BU145" s="125"/>
    </row>
    <row r="146" spans="1:73" ht="12.75">
      <c r="A146" s="125"/>
      <c r="B146" s="125"/>
      <c r="C146" s="125"/>
      <c r="D146" s="125"/>
      <c r="E146" s="125"/>
      <c r="F146" s="125"/>
      <c r="G146" s="125"/>
      <c r="H146" s="125"/>
      <c r="I146" s="125"/>
      <c r="J146" s="125"/>
      <c r="K146" s="125"/>
      <c r="L146" s="125"/>
      <c r="M146" s="125"/>
      <c r="N146" s="125"/>
      <c r="O146" s="125"/>
      <c r="P146" s="125"/>
      <c r="Q146" s="125"/>
      <c r="R146" s="125"/>
      <c r="S146" s="125"/>
      <c r="T146" s="125"/>
      <c r="U146" s="125"/>
      <c r="V146" s="125"/>
      <c r="W146" s="125"/>
      <c r="X146" s="125"/>
      <c r="Y146" s="125"/>
      <c r="Z146" s="125"/>
      <c r="AA146" s="125"/>
      <c r="AB146" s="125"/>
      <c r="AC146" s="125"/>
      <c r="AD146" s="125"/>
      <c r="AE146" s="125"/>
      <c r="AF146" s="125"/>
      <c r="AG146" s="125"/>
      <c r="AH146" s="125"/>
      <c r="AI146" s="125"/>
      <c r="AJ146" s="125"/>
      <c r="AK146" s="125"/>
      <c r="AL146" s="125"/>
      <c r="AM146" s="125"/>
      <c r="AN146" s="125"/>
      <c r="AO146" s="125"/>
      <c r="AP146" s="125"/>
      <c r="AQ146" s="125"/>
      <c r="AR146" s="125"/>
      <c r="AS146" s="125"/>
      <c r="AT146" s="125"/>
      <c r="AU146" s="125"/>
      <c r="AV146" s="125"/>
      <c r="AW146" s="125"/>
      <c r="AX146" s="125"/>
      <c r="AY146" s="125"/>
      <c r="AZ146" s="125"/>
      <c r="BA146" s="125"/>
      <c r="BB146" s="125"/>
      <c r="BC146" s="125"/>
      <c r="BD146" s="125"/>
      <c r="BE146" s="125"/>
      <c r="BF146" s="125"/>
      <c r="BG146" s="125"/>
      <c r="BH146" s="125"/>
      <c r="BI146" s="125"/>
      <c r="BJ146" s="125"/>
      <c r="BK146" s="125"/>
      <c r="BL146" s="125"/>
      <c r="BM146" s="125"/>
      <c r="BN146" s="125"/>
      <c r="BO146" s="125"/>
      <c r="BP146" s="125"/>
      <c r="BQ146" s="125"/>
      <c r="BR146" s="125"/>
      <c r="BS146" s="125"/>
      <c r="BT146" s="125"/>
      <c r="BU146" s="125"/>
    </row>
    <row r="147" spans="1:73" ht="12.75">
      <c r="A147" s="125"/>
      <c r="B147" s="125"/>
      <c r="C147" s="125"/>
      <c r="D147" s="125"/>
      <c r="E147" s="125"/>
      <c r="F147" s="125"/>
      <c r="G147" s="125"/>
      <c r="H147" s="125"/>
      <c r="I147" s="125"/>
      <c r="J147" s="125"/>
      <c r="K147" s="125"/>
      <c r="L147" s="125"/>
      <c r="M147" s="125"/>
      <c r="N147" s="125"/>
      <c r="O147" s="125"/>
      <c r="P147" s="125"/>
      <c r="Q147" s="125"/>
      <c r="R147" s="125"/>
      <c r="S147" s="125"/>
      <c r="T147" s="125"/>
      <c r="U147" s="125"/>
      <c r="V147" s="125"/>
      <c r="W147" s="125"/>
      <c r="X147" s="125"/>
      <c r="Y147" s="125"/>
      <c r="Z147" s="125"/>
      <c r="AA147" s="125"/>
      <c r="AB147" s="125"/>
      <c r="AC147" s="125"/>
      <c r="AD147" s="125"/>
      <c r="AE147" s="125"/>
      <c r="AF147" s="125"/>
      <c r="AG147" s="125"/>
      <c r="AH147" s="125"/>
      <c r="AI147" s="125"/>
      <c r="AJ147" s="125"/>
      <c r="AK147" s="125"/>
      <c r="AL147" s="125"/>
      <c r="AM147" s="125"/>
      <c r="AN147" s="125"/>
      <c r="AO147" s="125"/>
      <c r="AP147" s="125"/>
      <c r="AQ147" s="125"/>
      <c r="AR147" s="125"/>
      <c r="AS147" s="125"/>
      <c r="AT147" s="125"/>
      <c r="AU147" s="125"/>
      <c r="AV147" s="125"/>
      <c r="AW147" s="125"/>
      <c r="AX147" s="125"/>
      <c r="AY147" s="125"/>
      <c r="AZ147" s="125"/>
      <c r="BA147" s="125"/>
      <c r="BB147" s="125"/>
      <c r="BC147" s="125"/>
      <c r="BD147" s="125"/>
      <c r="BE147" s="125"/>
      <c r="BF147" s="125"/>
      <c r="BG147" s="125"/>
      <c r="BH147" s="125"/>
      <c r="BI147" s="125"/>
      <c r="BJ147" s="125"/>
      <c r="BK147" s="125"/>
      <c r="BL147" s="125"/>
      <c r="BM147" s="125"/>
      <c r="BN147" s="125"/>
      <c r="BO147" s="125"/>
      <c r="BP147" s="125"/>
      <c r="BQ147" s="125"/>
      <c r="BR147" s="125"/>
      <c r="BS147" s="125"/>
      <c r="BT147" s="125"/>
      <c r="BU147" s="125"/>
    </row>
    <row r="148" spans="1:73" ht="12.75">
      <c r="A148" s="125"/>
      <c r="B148" s="125"/>
      <c r="C148" s="125"/>
      <c r="D148" s="125"/>
      <c r="E148" s="125"/>
      <c r="F148" s="125"/>
      <c r="G148" s="125"/>
      <c r="H148" s="125"/>
      <c r="I148" s="125"/>
      <c r="J148" s="125"/>
      <c r="K148" s="125"/>
      <c r="L148" s="125"/>
      <c r="M148" s="125"/>
      <c r="N148" s="125"/>
      <c r="O148" s="125"/>
      <c r="P148" s="125"/>
      <c r="Q148" s="125"/>
      <c r="R148" s="125"/>
      <c r="S148" s="125"/>
      <c r="T148" s="125"/>
      <c r="U148" s="125"/>
      <c r="V148" s="125"/>
      <c r="W148" s="125"/>
      <c r="X148" s="125"/>
      <c r="Y148" s="125"/>
      <c r="Z148" s="125"/>
      <c r="AA148" s="125"/>
      <c r="AB148" s="125"/>
      <c r="AC148" s="125"/>
      <c r="AD148" s="125"/>
      <c r="AE148" s="125"/>
      <c r="AF148" s="125"/>
      <c r="AG148" s="125"/>
      <c r="AH148" s="125"/>
      <c r="AI148" s="125"/>
      <c r="AJ148" s="125"/>
      <c r="AK148" s="125"/>
      <c r="AL148" s="125"/>
      <c r="AM148" s="125"/>
      <c r="AN148" s="125"/>
      <c r="AO148" s="125"/>
      <c r="AP148" s="125"/>
      <c r="AQ148" s="125"/>
      <c r="AR148" s="125"/>
      <c r="AS148" s="125"/>
      <c r="AT148" s="125"/>
      <c r="AU148" s="125"/>
      <c r="AV148" s="125"/>
      <c r="AW148" s="125"/>
      <c r="AX148" s="125"/>
      <c r="AY148" s="125"/>
      <c r="AZ148" s="125"/>
      <c r="BA148" s="125"/>
      <c r="BB148" s="125"/>
      <c r="BC148" s="125"/>
      <c r="BD148" s="125"/>
      <c r="BE148" s="125"/>
      <c r="BF148" s="125"/>
      <c r="BG148" s="125"/>
      <c r="BH148" s="125"/>
      <c r="BI148" s="125"/>
      <c r="BJ148" s="125"/>
      <c r="BK148" s="125"/>
      <c r="BL148" s="125"/>
      <c r="BM148" s="125"/>
      <c r="BN148" s="125"/>
      <c r="BO148" s="125"/>
      <c r="BP148" s="125"/>
      <c r="BQ148" s="125"/>
      <c r="BR148" s="125"/>
      <c r="BS148" s="125"/>
      <c r="BT148" s="125"/>
      <c r="BU148" s="125"/>
    </row>
    <row r="149" spans="1:73" ht="12.75">
      <c r="A149" s="125"/>
      <c r="B149" s="125"/>
      <c r="C149" s="125"/>
      <c r="D149" s="125"/>
      <c r="E149" s="125"/>
      <c r="F149" s="125"/>
      <c r="G149" s="125"/>
      <c r="H149" s="125"/>
      <c r="I149" s="125"/>
      <c r="J149" s="125"/>
      <c r="K149" s="125"/>
      <c r="L149" s="125"/>
      <c r="M149" s="125"/>
      <c r="N149" s="125"/>
      <c r="O149" s="125"/>
      <c r="P149" s="125"/>
      <c r="Q149" s="125"/>
      <c r="R149" s="125"/>
      <c r="S149" s="125"/>
      <c r="T149" s="125"/>
      <c r="U149" s="125"/>
      <c r="V149" s="125"/>
      <c r="W149" s="125"/>
      <c r="X149" s="125"/>
      <c r="Y149" s="125"/>
      <c r="Z149" s="125"/>
      <c r="AA149" s="125"/>
      <c r="AB149" s="125"/>
      <c r="AC149" s="125"/>
      <c r="AD149" s="125"/>
      <c r="AE149" s="125"/>
      <c r="AF149" s="125"/>
      <c r="AG149" s="125"/>
      <c r="AH149" s="125"/>
      <c r="AI149" s="125"/>
      <c r="AJ149" s="125"/>
      <c r="AK149" s="125"/>
      <c r="AL149" s="125"/>
      <c r="AM149" s="125"/>
      <c r="AN149" s="125"/>
      <c r="AO149" s="125"/>
      <c r="AP149" s="125"/>
      <c r="AQ149" s="125"/>
      <c r="AR149" s="125"/>
      <c r="AS149" s="125"/>
      <c r="AT149" s="125"/>
      <c r="AU149" s="125"/>
      <c r="AV149" s="125"/>
      <c r="AW149" s="125"/>
      <c r="AX149" s="125"/>
      <c r="AY149" s="125"/>
      <c r="AZ149" s="125"/>
      <c r="BA149" s="125"/>
      <c r="BB149" s="125"/>
      <c r="BC149" s="125"/>
      <c r="BD149" s="125"/>
      <c r="BE149" s="125"/>
      <c r="BF149" s="125"/>
      <c r="BG149" s="125"/>
      <c r="BH149" s="125"/>
      <c r="BI149" s="125"/>
      <c r="BJ149" s="125"/>
      <c r="BK149" s="125"/>
      <c r="BL149" s="125"/>
      <c r="BM149" s="125"/>
      <c r="BN149" s="125"/>
      <c r="BO149" s="125"/>
      <c r="BP149" s="125"/>
      <c r="BQ149" s="125"/>
      <c r="BR149" s="125"/>
      <c r="BS149" s="125"/>
      <c r="BT149" s="125"/>
      <c r="BU149" s="125"/>
    </row>
    <row r="150" spans="1:73" ht="12.75">
      <c r="A150" s="125"/>
      <c r="B150" s="125"/>
      <c r="C150" s="125"/>
      <c r="D150" s="125"/>
      <c r="E150" s="125"/>
      <c r="F150" s="125"/>
      <c r="G150" s="125"/>
      <c r="H150" s="125"/>
      <c r="I150" s="125"/>
      <c r="J150" s="125"/>
      <c r="K150" s="125"/>
      <c r="L150" s="125"/>
      <c r="M150" s="125"/>
      <c r="N150" s="125"/>
      <c r="O150" s="125"/>
      <c r="P150" s="125"/>
      <c r="Q150" s="125"/>
      <c r="R150" s="125"/>
      <c r="S150" s="125"/>
      <c r="T150" s="125"/>
      <c r="U150" s="125"/>
      <c r="V150" s="125"/>
      <c r="W150" s="125"/>
      <c r="X150" s="125"/>
      <c r="Y150" s="125"/>
      <c r="Z150" s="125"/>
      <c r="AA150" s="125"/>
      <c r="AB150" s="125"/>
      <c r="AC150" s="125"/>
      <c r="AD150" s="125"/>
      <c r="AE150" s="125"/>
      <c r="AF150" s="125"/>
      <c r="AG150" s="125"/>
      <c r="AH150" s="125"/>
      <c r="AI150" s="125"/>
      <c r="AJ150" s="125"/>
      <c r="AK150" s="125"/>
      <c r="AL150" s="125"/>
      <c r="AM150" s="125"/>
      <c r="AN150" s="125"/>
      <c r="AO150" s="125"/>
      <c r="AP150" s="125"/>
      <c r="AQ150" s="125"/>
      <c r="AR150" s="125"/>
      <c r="AS150" s="125"/>
      <c r="AT150" s="125"/>
      <c r="AU150" s="125"/>
      <c r="AV150" s="125"/>
      <c r="AW150" s="125"/>
      <c r="AX150" s="125"/>
      <c r="AY150" s="125"/>
      <c r="AZ150" s="125"/>
      <c r="BA150" s="125"/>
      <c r="BB150" s="125"/>
      <c r="BC150" s="125"/>
      <c r="BD150" s="125"/>
      <c r="BE150" s="125"/>
      <c r="BF150" s="125"/>
      <c r="BG150" s="125"/>
      <c r="BH150" s="125"/>
      <c r="BI150" s="125"/>
      <c r="BJ150" s="125"/>
      <c r="BK150" s="125"/>
      <c r="BL150" s="125"/>
      <c r="BM150" s="125"/>
      <c r="BN150" s="125"/>
      <c r="BO150" s="125"/>
      <c r="BP150" s="125"/>
      <c r="BQ150" s="125"/>
      <c r="BR150" s="125"/>
      <c r="BS150" s="125"/>
      <c r="BT150" s="125"/>
      <c r="BU150" s="125"/>
    </row>
    <row r="151" spans="1:73" ht="12.75">
      <c r="A151" s="125"/>
      <c r="B151" s="125"/>
      <c r="C151" s="125"/>
      <c r="D151" s="125"/>
      <c r="E151" s="125"/>
      <c r="F151" s="125"/>
      <c r="G151" s="125"/>
      <c r="H151" s="125"/>
      <c r="I151" s="125"/>
      <c r="J151" s="125"/>
      <c r="K151" s="125"/>
      <c r="L151" s="125"/>
      <c r="M151" s="125"/>
      <c r="N151" s="125"/>
      <c r="O151" s="125"/>
      <c r="P151" s="125"/>
      <c r="Q151" s="125"/>
      <c r="R151" s="125"/>
      <c r="S151" s="125"/>
      <c r="T151" s="125"/>
      <c r="U151" s="125"/>
      <c r="V151" s="125"/>
      <c r="W151" s="125"/>
      <c r="X151" s="125"/>
      <c r="Y151" s="125"/>
      <c r="Z151" s="125"/>
      <c r="AA151" s="125"/>
      <c r="AB151" s="125"/>
      <c r="AC151" s="125"/>
      <c r="AD151" s="125"/>
      <c r="AE151" s="125"/>
      <c r="AF151" s="125"/>
      <c r="AG151" s="125"/>
      <c r="AH151" s="125"/>
      <c r="AI151" s="125"/>
      <c r="AJ151" s="125"/>
      <c r="AK151" s="125"/>
      <c r="AL151" s="125"/>
      <c r="AM151" s="125"/>
      <c r="AN151" s="125"/>
      <c r="AO151" s="125"/>
      <c r="AP151" s="125"/>
      <c r="AQ151" s="125"/>
      <c r="AR151" s="125"/>
      <c r="AS151" s="125"/>
      <c r="AT151" s="125"/>
      <c r="AU151" s="125"/>
      <c r="AV151" s="125"/>
      <c r="AW151" s="125"/>
      <c r="AX151" s="125"/>
      <c r="AY151" s="125"/>
      <c r="AZ151" s="125"/>
      <c r="BA151" s="125"/>
      <c r="BB151" s="125"/>
      <c r="BC151" s="125"/>
      <c r="BD151" s="125"/>
      <c r="BE151" s="125"/>
      <c r="BF151" s="125"/>
      <c r="BG151" s="125"/>
      <c r="BH151" s="125"/>
      <c r="BI151" s="125"/>
      <c r="BJ151" s="125"/>
      <c r="BK151" s="125"/>
      <c r="BL151" s="125"/>
      <c r="BM151" s="125"/>
      <c r="BN151" s="125"/>
      <c r="BO151" s="125"/>
      <c r="BP151" s="125"/>
      <c r="BQ151" s="125"/>
      <c r="BR151" s="125"/>
      <c r="BS151" s="125"/>
      <c r="BT151" s="125"/>
      <c r="BU151" s="125"/>
    </row>
    <row r="152" spans="1:73" ht="12.75">
      <c r="A152" s="125"/>
      <c r="B152" s="125"/>
      <c r="C152" s="125"/>
      <c r="D152" s="125"/>
      <c r="E152" s="125"/>
      <c r="F152" s="125"/>
      <c r="G152" s="125"/>
      <c r="H152" s="125"/>
      <c r="I152" s="125"/>
      <c r="J152" s="125"/>
      <c r="K152" s="125"/>
      <c r="L152" s="125"/>
      <c r="M152" s="125"/>
      <c r="N152" s="125"/>
      <c r="O152" s="125"/>
      <c r="P152" s="125"/>
      <c r="Q152" s="125"/>
      <c r="R152" s="125"/>
      <c r="S152" s="125"/>
      <c r="T152" s="125"/>
      <c r="U152" s="125"/>
      <c r="V152" s="125"/>
      <c r="W152" s="125"/>
      <c r="X152" s="125"/>
      <c r="Y152" s="125"/>
      <c r="Z152" s="125"/>
      <c r="AA152" s="125"/>
      <c r="AB152" s="125"/>
      <c r="AC152" s="125"/>
      <c r="AD152" s="125"/>
      <c r="AE152" s="125"/>
      <c r="AF152" s="125"/>
      <c r="AG152" s="125"/>
      <c r="AH152" s="125"/>
      <c r="AI152" s="125"/>
      <c r="AJ152" s="125"/>
      <c r="AK152" s="125"/>
      <c r="AL152" s="125"/>
      <c r="AM152" s="125"/>
      <c r="AN152" s="125"/>
      <c r="AO152" s="125"/>
      <c r="AP152" s="125"/>
      <c r="AQ152" s="125"/>
      <c r="AR152" s="125"/>
      <c r="AS152" s="125"/>
      <c r="AT152" s="125"/>
      <c r="AU152" s="125"/>
      <c r="AV152" s="125"/>
      <c r="AW152" s="125"/>
      <c r="AX152" s="125"/>
      <c r="AY152" s="125"/>
      <c r="AZ152" s="125"/>
      <c r="BA152" s="125"/>
      <c r="BB152" s="125"/>
      <c r="BC152" s="125"/>
      <c r="BD152" s="125"/>
      <c r="BE152" s="125"/>
      <c r="BF152" s="125"/>
      <c r="BG152" s="125"/>
      <c r="BH152" s="125"/>
      <c r="BI152" s="125"/>
      <c r="BJ152" s="125"/>
      <c r="BK152" s="125"/>
      <c r="BL152" s="125"/>
      <c r="BM152" s="125"/>
      <c r="BN152" s="125"/>
      <c r="BO152" s="125"/>
      <c r="BP152" s="125"/>
      <c r="BQ152" s="125"/>
      <c r="BR152" s="125"/>
      <c r="BS152" s="125"/>
      <c r="BT152" s="125"/>
      <c r="BU152" s="125"/>
    </row>
    <row r="153" spans="1:73" ht="12.75">
      <c r="A153" s="125"/>
      <c r="B153" s="125"/>
      <c r="C153" s="125"/>
      <c r="D153" s="125"/>
      <c r="E153" s="125"/>
      <c r="F153" s="125"/>
      <c r="G153" s="125"/>
      <c r="H153" s="125"/>
      <c r="I153" s="125"/>
      <c r="J153" s="125"/>
      <c r="K153" s="125"/>
      <c r="L153" s="125"/>
      <c r="M153" s="125"/>
      <c r="N153" s="125"/>
      <c r="O153" s="125"/>
      <c r="P153" s="125"/>
      <c r="Q153" s="125"/>
      <c r="R153" s="125"/>
      <c r="S153" s="125"/>
      <c r="T153" s="125"/>
      <c r="U153" s="125"/>
      <c r="V153" s="125"/>
      <c r="W153" s="125"/>
      <c r="X153" s="125"/>
      <c r="Y153" s="125"/>
      <c r="Z153" s="125"/>
      <c r="AA153" s="125"/>
      <c r="AB153" s="125"/>
      <c r="AC153" s="125"/>
      <c r="AD153" s="125"/>
      <c r="AE153" s="125"/>
      <c r="AF153" s="125"/>
      <c r="AG153" s="125"/>
      <c r="AH153" s="125"/>
      <c r="AI153" s="125"/>
      <c r="AJ153" s="125"/>
      <c r="AK153" s="125"/>
      <c r="AL153" s="125"/>
      <c r="AM153" s="125"/>
      <c r="AN153" s="125"/>
      <c r="AO153" s="125"/>
      <c r="AP153" s="125"/>
      <c r="AQ153" s="125"/>
      <c r="AR153" s="125"/>
      <c r="AS153" s="125"/>
      <c r="AT153" s="125"/>
      <c r="AU153" s="125"/>
      <c r="AV153" s="125"/>
      <c r="AW153" s="125"/>
      <c r="AX153" s="125"/>
      <c r="AY153" s="125"/>
      <c r="AZ153" s="125"/>
      <c r="BA153" s="125"/>
      <c r="BB153" s="125"/>
      <c r="BC153" s="125"/>
      <c r="BD153" s="125"/>
      <c r="BE153" s="125"/>
      <c r="BF153" s="125"/>
      <c r="BG153" s="125"/>
      <c r="BH153" s="125"/>
      <c r="BI153" s="125"/>
      <c r="BJ153" s="125"/>
      <c r="BK153" s="125"/>
      <c r="BL153" s="125"/>
      <c r="BM153" s="125"/>
      <c r="BN153" s="125"/>
      <c r="BO153" s="125"/>
      <c r="BP153" s="125"/>
      <c r="BQ153" s="125"/>
      <c r="BR153" s="125"/>
      <c r="BS153" s="125"/>
      <c r="BT153" s="125"/>
      <c r="BU153" s="125"/>
    </row>
    <row r="154" spans="1:73" ht="12.75">
      <c r="A154" s="125"/>
      <c r="B154" s="125"/>
      <c r="C154" s="125"/>
      <c r="D154" s="125"/>
      <c r="E154" s="125"/>
      <c r="F154" s="125"/>
      <c r="G154" s="125"/>
      <c r="H154" s="125"/>
      <c r="I154" s="125"/>
      <c r="J154" s="125"/>
      <c r="K154" s="125"/>
      <c r="L154" s="125"/>
      <c r="M154" s="125"/>
      <c r="N154" s="125"/>
      <c r="O154" s="125"/>
      <c r="P154" s="125"/>
      <c r="Q154" s="125"/>
      <c r="R154" s="125"/>
      <c r="S154" s="125"/>
      <c r="T154" s="125"/>
      <c r="U154" s="125"/>
      <c r="V154" s="125"/>
      <c r="W154" s="125"/>
      <c r="X154" s="125"/>
      <c r="Y154" s="125"/>
      <c r="Z154" s="125"/>
      <c r="AA154" s="125"/>
      <c r="AB154" s="125"/>
      <c r="AC154" s="125"/>
      <c r="AD154" s="125"/>
      <c r="AE154" s="125"/>
      <c r="AF154" s="125"/>
      <c r="AG154" s="125"/>
      <c r="AH154" s="125"/>
      <c r="AI154" s="125"/>
      <c r="AJ154" s="125"/>
      <c r="AK154" s="125"/>
      <c r="AL154" s="125"/>
      <c r="AM154" s="125"/>
      <c r="AN154" s="125"/>
      <c r="AO154" s="125"/>
      <c r="AP154" s="125"/>
      <c r="AQ154" s="125"/>
      <c r="AR154" s="125"/>
      <c r="AS154" s="125"/>
      <c r="AT154" s="125"/>
      <c r="AU154" s="125"/>
      <c r="AV154" s="125"/>
      <c r="AW154" s="125"/>
      <c r="AX154" s="125"/>
      <c r="AY154" s="125"/>
      <c r="AZ154" s="125"/>
      <c r="BA154" s="125"/>
      <c r="BB154" s="125"/>
      <c r="BC154" s="125"/>
      <c r="BD154" s="125"/>
      <c r="BE154" s="125"/>
      <c r="BF154" s="125"/>
      <c r="BG154" s="125"/>
      <c r="BH154" s="125"/>
      <c r="BI154" s="125"/>
      <c r="BJ154" s="125"/>
      <c r="BK154" s="125"/>
      <c r="BL154" s="125"/>
      <c r="BM154" s="125"/>
      <c r="BN154" s="125"/>
      <c r="BO154" s="125"/>
      <c r="BP154" s="125"/>
      <c r="BQ154" s="125"/>
      <c r="BR154" s="125"/>
      <c r="BS154" s="125"/>
      <c r="BT154" s="125"/>
      <c r="BU154" s="125"/>
    </row>
    <row r="155" spans="1:73" ht="12.75">
      <c r="A155" s="125"/>
      <c r="B155" s="125"/>
      <c r="C155" s="125"/>
      <c r="D155" s="125"/>
      <c r="E155" s="125"/>
      <c r="F155" s="125"/>
      <c r="G155" s="125"/>
      <c r="H155" s="125"/>
      <c r="I155" s="125"/>
      <c r="J155" s="125"/>
      <c r="K155" s="125"/>
      <c r="L155" s="125"/>
      <c r="M155" s="125"/>
      <c r="N155" s="125"/>
      <c r="O155" s="125"/>
      <c r="P155" s="125"/>
      <c r="Q155" s="125"/>
      <c r="R155" s="125"/>
      <c r="S155" s="125"/>
      <c r="T155" s="125"/>
      <c r="U155" s="125"/>
      <c r="V155" s="125"/>
      <c r="W155" s="125"/>
      <c r="X155" s="125"/>
      <c r="Y155" s="125"/>
      <c r="Z155" s="125"/>
      <c r="AA155" s="125"/>
      <c r="AB155" s="125"/>
      <c r="AC155" s="125"/>
      <c r="AD155" s="125"/>
      <c r="AE155" s="125"/>
      <c r="AF155" s="125"/>
      <c r="AG155" s="125"/>
      <c r="AH155" s="125"/>
      <c r="AI155" s="125"/>
      <c r="AJ155" s="125"/>
      <c r="AK155" s="125"/>
      <c r="AL155" s="125"/>
      <c r="AM155" s="125"/>
      <c r="AN155" s="125"/>
      <c r="AO155" s="125"/>
      <c r="AP155" s="125"/>
      <c r="AQ155" s="125"/>
      <c r="AR155" s="125"/>
      <c r="AS155" s="125"/>
      <c r="AT155" s="125"/>
      <c r="AU155" s="125"/>
      <c r="AV155" s="125"/>
      <c r="AW155" s="125"/>
      <c r="AX155" s="125"/>
      <c r="AY155" s="125"/>
      <c r="AZ155" s="125"/>
      <c r="BA155" s="125"/>
      <c r="BB155" s="125"/>
      <c r="BC155" s="125"/>
      <c r="BD155" s="125"/>
      <c r="BE155" s="125"/>
      <c r="BF155" s="125"/>
      <c r="BG155" s="125"/>
      <c r="BH155" s="125"/>
      <c r="BI155" s="125"/>
      <c r="BJ155" s="125"/>
      <c r="BK155" s="125"/>
      <c r="BL155" s="125"/>
      <c r="BM155" s="125"/>
      <c r="BN155" s="125"/>
      <c r="BO155" s="125"/>
      <c r="BP155" s="125"/>
      <c r="BQ155" s="125"/>
      <c r="BR155" s="125"/>
      <c r="BS155" s="125"/>
      <c r="BT155" s="125"/>
      <c r="BU155" s="125"/>
    </row>
    <row r="156" spans="1:73" ht="12.75">
      <c r="A156" s="125"/>
      <c r="B156" s="125"/>
      <c r="C156" s="125"/>
      <c r="D156" s="125"/>
      <c r="E156" s="125"/>
      <c r="F156" s="125"/>
      <c r="G156" s="125"/>
      <c r="H156" s="125"/>
      <c r="I156" s="125"/>
      <c r="J156" s="125"/>
      <c r="K156" s="125"/>
      <c r="L156" s="125"/>
      <c r="M156" s="125"/>
      <c r="N156" s="125"/>
      <c r="O156" s="125"/>
      <c r="P156" s="125"/>
      <c r="Q156" s="125"/>
      <c r="R156" s="125"/>
      <c r="S156" s="125"/>
      <c r="T156" s="125"/>
      <c r="U156" s="125"/>
      <c r="V156" s="125"/>
      <c r="W156" s="125"/>
      <c r="X156" s="125"/>
      <c r="Y156" s="125"/>
      <c r="Z156" s="125"/>
      <c r="AA156" s="125"/>
      <c r="AB156" s="125"/>
      <c r="AC156" s="125"/>
      <c r="AD156" s="125"/>
      <c r="AE156" s="125"/>
      <c r="AF156" s="125"/>
      <c r="AG156" s="125"/>
      <c r="AH156" s="125"/>
      <c r="AI156" s="125"/>
      <c r="AJ156" s="125"/>
      <c r="AK156" s="125"/>
      <c r="AL156" s="125"/>
      <c r="AM156" s="125"/>
      <c r="AN156" s="125"/>
      <c r="AO156" s="125"/>
      <c r="AP156" s="125"/>
      <c r="AQ156" s="125"/>
      <c r="AR156" s="125"/>
      <c r="AS156" s="125"/>
      <c r="AT156" s="125"/>
      <c r="AU156" s="125"/>
      <c r="AV156" s="125"/>
      <c r="AW156" s="125"/>
      <c r="AX156" s="125"/>
      <c r="AY156" s="125"/>
      <c r="AZ156" s="125"/>
      <c r="BA156" s="125"/>
      <c r="BB156" s="125"/>
      <c r="BC156" s="125"/>
      <c r="BD156" s="125"/>
      <c r="BE156" s="125"/>
      <c r="BF156" s="125"/>
      <c r="BG156" s="125"/>
      <c r="BH156" s="125"/>
      <c r="BI156" s="125"/>
      <c r="BJ156" s="125"/>
      <c r="BK156" s="125"/>
      <c r="BL156" s="125"/>
      <c r="BM156" s="125"/>
      <c r="BN156" s="125"/>
      <c r="BO156" s="125"/>
      <c r="BP156" s="125"/>
      <c r="BQ156" s="125"/>
      <c r="BR156" s="125"/>
      <c r="BS156" s="125"/>
      <c r="BT156" s="125"/>
      <c r="BU156" s="125"/>
    </row>
    <row r="157" spans="1:73" ht="12.75">
      <c r="A157" s="125"/>
      <c r="B157" s="125"/>
      <c r="C157" s="125"/>
      <c r="D157" s="125"/>
      <c r="E157" s="125"/>
      <c r="F157" s="125"/>
      <c r="G157" s="125"/>
      <c r="H157" s="125"/>
      <c r="I157" s="125"/>
      <c r="J157" s="125"/>
      <c r="K157" s="125"/>
      <c r="L157" s="125"/>
      <c r="M157" s="125"/>
      <c r="N157" s="125"/>
      <c r="O157" s="125"/>
      <c r="P157" s="125"/>
      <c r="Q157" s="125"/>
      <c r="R157" s="125"/>
      <c r="S157" s="125"/>
      <c r="T157" s="125"/>
      <c r="U157" s="125"/>
      <c r="V157" s="125"/>
      <c r="W157" s="125"/>
      <c r="X157" s="125"/>
      <c r="Y157" s="125"/>
      <c r="Z157" s="125"/>
      <c r="AA157" s="125"/>
      <c r="AB157" s="125"/>
      <c r="AC157" s="125"/>
      <c r="AD157" s="125"/>
      <c r="AE157" s="125"/>
      <c r="AF157" s="125"/>
      <c r="AG157" s="125"/>
      <c r="AH157" s="125"/>
      <c r="AI157" s="125"/>
      <c r="AJ157" s="125"/>
      <c r="AK157" s="125"/>
      <c r="AL157" s="125"/>
      <c r="AM157" s="125"/>
      <c r="AN157" s="125"/>
      <c r="AO157" s="125"/>
      <c r="AP157" s="125"/>
      <c r="AQ157" s="125"/>
      <c r="AR157" s="125"/>
      <c r="AS157" s="125"/>
      <c r="AT157" s="125"/>
      <c r="AU157" s="125"/>
      <c r="AV157" s="125"/>
      <c r="AW157" s="125"/>
      <c r="AX157" s="125"/>
      <c r="AY157" s="125"/>
      <c r="AZ157" s="125"/>
      <c r="BA157" s="125"/>
      <c r="BB157" s="125"/>
      <c r="BC157" s="125"/>
      <c r="BD157" s="125"/>
      <c r="BE157" s="125"/>
      <c r="BF157" s="125"/>
      <c r="BG157" s="125"/>
      <c r="BH157" s="125"/>
      <c r="BI157" s="125"/>
      <c r="BJ157" s="125"/>
      <c r="BK157" s="125"/>
      <c r="BL157" s="125"/>
      <c r="BM157" s="125"/>
      <c r="BN157" s="125"/>
      <c r="BO157" s="125"/>
      <c r="BP157" s="125"/>
      <c r="BQ157" s="125"/>
      <c r="BR157" s="125"/>
      <c r="BS157" s="125"/>
      <c r="BT157" s="125"/>
      <c r="BU157" s="125"/>
    </row>
    <row r="158" spans="1:73" ht="12.75">
      <c r="A158" s="125"/>
      <c r="B158" s="125"/>
      <c r="C158" s="125"/>
      <c r="D158" s="125"/>
      <c r="E158" s="125"/>
      <c r="F158" s="125"/>
      <c r="G158" s="125"/>
      <c r="H158" s="125"/>
      <c r="I158" s="125"/>
      <c r="J158" s="125"/>
      <c r="K158" s="125"/>
      <c r="L158" s="125"/>
      <c r="M158" s="125"/>
      <c r="N158" s="125"/>
      <c r="O158" s="125"/>
      <c r="P158" s="125"/>
      <c r="Q158" s="125"/>
      <c r="R158" s="125"/>
      <c r="S158" s="125"/>
      <c r="T158" s="125"/>
      <c r="U158" s="125"/>
      <c r="V158" s="125"/>
      <c r="W158" s="125"/>
      <c r="X158" s="125"/>
      <c r="Y158" s="125"/>
      <c r="Z158" s="125"/>
      <c r="AA158" s="125"/>
      <c r="AB158" s="125"/>
      <c r="AC158" s="125"/>
      <c r="AD158" s="125"/>
      <c r="AE158" s="125"/>
      <c r="AF158" s="125"/>
      <c r="AG158" s="125"/>
      <c r="AH158" s="125"/>
      <c r="AI158" s="125"/>
      <c r="AJ158" s="125"/>
      <c r="AK158" s="125"/>
      <c r="AL158" s="125"/>
      <c r="AM158" s="125"/>
      <c r="AN158" s="125"/>
      <c r="AO158" s="125"/>
      <c r="AP158" s="125"/>
      <c r="AQ158" s="125"/>
      <c r="AR158" s="125"/>
      <c r="AS158" s="125"/>
      <c r="AT158" s="125"/>
      <c r="AU158" s="125"/>
      <c r="AV158" s="125"/>
      <c r="AW158" s="125"/>
      <c r="AX158" s="125"/>
      <c r="AY158" s="125"/>
      <c r="AZ158" s="125"/>
      <c r="BA158" s="125"/>
      <c r="BB158" s="125"/>
      <c r="BC158" s="125"/>
      <c r="BD158" s="125"/>
      <c r="BE158" s="125"/>
      <c r="BF158" s="125"/>
      <c r="BG158" s="125"/>
      <c r="BH158" s="125"/>
      <c r="BI158" s="125"/>
      <c r="BJ158" s="125"/>
      <c r="BK158" s="125"/>
      <c r="BL158" s="125"/>
      <c r="BM158" s="125"/>
      <c r="BN158" s="125"/>
      <c r="BO158" s="125"/>
      <c r="BP158" s="125"/>
      <c r="BQ158" s="125"/>
      <c r="BR158" s="125"/>
      <c r="BS158" s="125"/>
      <c r="BT158" s="125"/>
      <c r="BU158" s="125"/>
    </row>
    <row r="159" spans="1:73" ht="12.75">
      <c r="A159" s="125"/>
      <c r="B159" s="125"/>
      <c r="C159" s="125"/>
      <c r="D159" s="125"/>
      <c r="E159" s="125"/>
      <c r="F159" s="125"/>
      <c r="G159" s="125"/>
      <c r="H159" s="125"/>
      <c r="I159" s="125"/>
      <c r="J159" s="125"/>
      <c r="K159" s="125"/>
      <c r="L159" s="125"/>
      <c r="M159" s="125"/>
      <c r="N159" s="125"/>
      <c r="O159" s="125"/>
      <c r="P159" s="125"/>
      <c r="Q159" s="125"/>
      <c r="R159" s="125"/>
      <c r="S159" s="125"/>
      <c r="T159" s="125"/>
      <c r="U159" s="125"/>
      <c r="V159" s="125"/>
      <c r="W159" s="125"/>
      <c r="X159" s="125"/>
      <c r="Y159" s="125"/>
      <c r="Z159" s="125"/>
      <c r="AA159" s="125"/>
      <c r="AB159" s="125"/>
      <c r="AC159" s="125"/>
      <c r="AD159" s="125"/>
      <c r="AE159" s="125"/>
      <c r="AF159" s="125"/>
      <c r="AG159" s="125"/>
      <c r="AH159" s="125"/>
      <c r="AI159" s="125"/>
      <c r="AJ159" s="125"/>
      <c r="AK159" s="125"/>
      <c r="AL159" s="125"/>
      <c r="AM159" s="125"/>
      <c r="AN159" s="125"/>
      <c r="AO159" s="125"/>
      <c r="AP159" s="125"/>
      <c r="AQ159" s="125"/>
      <c r="AR159" s="125"/>
      <c r="AS159" s="125"/>
      <c r="AT159" s="125"/>
      <c r="AU159" s="125"/>
      <c r="AV159" s="125"/>
      <c r="AW159" s="125"/>
      <c r="AX159" s="125"/>
      <c r="AY159" s="125"/>
      <c r="AZ159" s="125"/>
      <c r="BA159" s="125"/>
      <c r="BB159" s="125"/>
      <c r="BC159" s="125"/>
      <c r="BD159" s="125"/>
      <c r="BE159" s="125"/>
      <c r="BF159" s="125"/>
      <c r="BG159" s="125"/>
      <c r="BH159" s="125"/>
      <c r="BI159" s="125"/>
      <c r="BJ159" s="125"/>
      <c r="BK159" s="125"/>
      <c r="BL159" s="125"/>
      <c r="BM159" s="125"/>
      <c r="BN159" s="125"/>
      <c r="BO159" s="125"/>
      <c r="BP159" s="125"/>
      <c r="BQ159" s="125"/>
      <c r="BR159" s="125"/>
      <c r="BS159" s="125"/>
      <c r="BT159" s="125"/>
      <c r="BU159" s="125"/>
    </row>
    <row r="160" spans="1:73" ht="12.75">
      <c r="A160" s="125"/>
      <c r="B160" s="125"/>
      <c r="C160" s="125"/>
      <c r="D160" s="125"/>
      <c r="E160" s="125"/>
      <c r="F160" s="125"/>
      <c r="G160" s="125"/>
      <c r="H160" s="125"/>
      <c r="I160" s="125"/>
      <c r="J160" s="125"/>
      <c r="K160" s="125"/>
      <c r="L160" s="125"/>
      <c r="M160" s="125"/>
      <c r="N160" s="125"/>
      <c r="O160" s="125"/>
      <c r="P160" s="125"/>
      <c r="Q160" s="125"/>
      <c r="R160" s="125"/>
      <c r="S160" s="125"/>
      <c r="T160" s="125"/>
      <c r="U160" s="125"/>
      <c r="V160" s="125"/>
      <c r="W160" s="125"/>
      <c r="X160" s="125"/>
      <c r="Y160" s="125"/>
      <c r="Z160" s="125"/>
      <c r="AA160" s="125"/>
      <c r="AB160" s="125"/>
      <c r="AC160" s="125"/>
      <c r="AD160" s="125"/>
      <c r="AE160" s="125"/>
      <c r="AF160" s="125"/>
      <c r="AG160" s="125"/>
      <c r="AH160" s="125"/>
      <c r="AI160" s="125"/>
      <c r="AJ160" s="125"/>
      <c r="AK160" s="125"/>
      <c r="AL160" s="125"/>
      <c r="AM160" s="125"/>
      <c r="AN160" s="125"/>
      <c r="AO160" s="125"/>
      <c r="AP160" s="125"/>
      <c r="AQ160" s="125"/>
      <c r="AR160" s="125"/>
      <c r="AS160" s="125"/>
      <c r="AT160" s="125"/>
      <c r="AU160" s="125"/>
      <c r="AV160" s="125"/>
      <c r="AW160" s="125"/>
      <c r="AX160" s="125"/>
      <c r="AY160" s="125"/>
      <c r="AZ160" s="125"/>
      <c r="BA160" s="125"/>
      <c r="BB160" s="125"/>
      <c r="BC160" s="125"/>
      <c r="BD160" s="125"/>
      <c r="BE160" s="125"/>
      <c r="BF160" s="125"/>
      <c r="BG160" s="125"/>
      <c r="BH160" s="125"/>
      <c r="BI160" s="125"/>
      <c r="BJ160" s="125"/>
      <c r="BK160" s="125"/>
      <c r="BL160" s="125"/>
      <c r="BM160" s="125"/>
      <c r="BN160" s="125"/>
      <c r="BO160" s="125"/>
      <c r="BP160" s="125"/>
      <c r="BQ160" s="125"/>
      <c r="BR160" s="125"/>
      <c r="BS160" s="125"/>
      <c r="BT160" s="125"/>
      <c r="BU160" s="125"/>
    </row>
    <row r="161" spans="1:73" ht="12.75">
      <c r="A161" s="125"/>
      <c r="B161" s="125"/>
      <c r="C161" s="125"/>
      <c r="D161" s="125"/>
      <c r="E161" s="125"/>
      <c r="F161" s="125"/>
      <c r="G161" s="125"/>
      <c r="H161" s="125"/>
      <c r="I161" s="125"/>
      <c r="J161" s="125"/>
      <c r="K161" s="125"/>
      <c r="L161" s="125"/>
      <c r="M161" s="125"/>
      <c r="N161" s="125"/>
      <c r="O161" s="125"/>
      <c r="P161" s="125"/>
      <c r="Q161" s="125"/>
      <c r="R161" s="125"/>
      <c r="S161" s="125"/>
      <c r="T161" s="125"/>
      <c r="U161" s="125"/>
      <c r="V161" s="125"/>
      <c r="W161" s="125"/>
      <c r="X161" s="125"/>
      <c r="Y161" s="125"/>
      <c r="Z161" s="125"/>
      <c r="AA161" s="125"/>
      <c r="AB161" s="125"/>
      <c r="AC161" s="125"/>
      <c r="AD161" s="125"/>
      <c r="AE161" s="125"/>
      <c r="AF161" s="125"/>
      <c r="AG161" s="125"/>
      <c r="AH161" s="125"/>
      <c r="AI161" s="125"/>
      <c r="AJ161" s="125"/>
      <c r="AK161" s="125"/>
      <c r="AL161" s="125"/>
      <c r="AM161" s="125"/>
      <c r="AN161" s="125"/>
      <c r="AO161" s="125"/>
      <c r="AP161" s="125"/>
      <c r="AQ161" s="125"/>
      <c r="AR161" s="125"/>
      <c r="AS161" s="125"/>
      <c r="AT161" s="125"/>
      <c r="AU161" s="125"/>
      <c r="AV161" s="125"/>
      <c r="AW161" s="125"/>
      <c r="AX161" s="125"/>
      <c r="AY161" s="125"/>
      <c r="AZ161" s="125"/>
      <c r="BA161" s="125"/>
      <c r="BB161" s="125"/>
      <c r="BC161" s="125"/>
      <c r="BD161" s="125"/>
      <c r="BE161" s="125"/>
      <c r="BF161" s="125"/>
      <c r="BG161" s="125"/>
      <c r="BH161" s="125"/>
      <c r="BI161" s="125"/>
      <c r="BJ161" s="125"/>
      <c r="BK161" s="125"/>
      <c r="BL161" s="125"/>
      <c r="BM161" s="125"/>
      <c r="BN161" s="125"/>
      <c r="BO161" s="125"/>
      <c r="BP161" s="125"/>
      <c r="BQ161" s="125"/>
      <c r="BR161" s="125"/>
      <c r="BS161" s="125"/>
      <c r="BT161" s="125"/>
      <c r="BU161" s="125"/>
    </row>
    <row r="162" spans="1:73" ht="12.75">
      <c r="A162" s="125"/>
      <c r="B162" s="125"/>
      <c r="C162" s="125"/>
      <c r="D162" s="125"/>
      <c r="E162" s="125"/>
      <c r="F162" s="125"/>
      <c r="G162" s="125"/>
      <c r="H162" s="125"/>
      <c r="I162" s="125"/>
      <c r="J162" s="125"/>
      <c r="K162" s="125"/>
      <c r="L162" s="125"/>
      <c r="M162" s="125"/>
      <c r="N162" s="125"/>
      <c r="O162" s="125"/>
      <c r="P162" s="125"/>
      <c r="Q162" s="125"/>
      <c r="R162" s="125"/>
      <c r="S162" s="125"/>
      <c r="T162" s="125"/>
      <c r="U162" s="125"/>
      <c r="V162" s="125"/>
      <c r="W162" s="125"/>
      <c r="X162" s="125"/>
      <c r="Y162" s="125"/>
      <c r="Z162" s="125"/>
      <c r="AA162" s="125"/>
      <c r="AB162" s="125"/>
      <c r="AC162" s="125"/>
      <c r="AD162" s="125"/>
      <c r="AE162" s="125"/>
      <c r="AF162" s="125"/>
      <c r="AG162" s="125"/>
      <c r="AH162" s="125"/>
      <c r="AI162" s="125"/>
      <c r="AJ162" s="125"/>
      <c r="AK162" s="125"/>
      <c r="AL162" s="125"/>
      <c r="AM162" s="125"/>
      <c r="AN162" s="125"/>
      <c r="AO162" s="125"/>
      <c r="AP162" s="125"/>
      <c r="AQ162" s="125"/>
      <c r="AR162" s="125"/>
      <c r="AS162" s="125"/>
      <c r="AT162" s="125"/>
      <c r="AU162" s="125"/>
      <c r="AV162" s="125"/>
      <c r="AW162" s="125"/>
      <c r="AX162" s="125"/>
      <c r="AY162" s="125"/>
      <c r="AZ162" s="125"/>
      <c r="BA162" s="125"/>
      <c r="BB162" s="125"/>
      <c r="BC162" s="125"/>
      <c r="BD162" s="125"/>
      <c r="BE162" s="125"/>
      <c r="BF162" s="125"/>
      <c r="BG162" s="125"/>
      <c r="BH162" s="125"/>
      <c r="BI162" s="125"/>
      <c r="BJ162" s="125"/>
      <c r="BK162" s="125"/>
      <c r="BL162" s="125"/>
      <c r="BM162" s="125"/>
      <c r="BN162" s="125"/>
      <c r="BO162" s="125"/>
      <c r="BP162" s="125"/>
      <c r="BQ162" s="125"/>
      <c r="BR162" s="125"/>
      <c r="BS162" s="125"/>
      <c r="BT162" s="125"/>
      <c r="BU162" s="125"/>
    </row>
    <row r="163" spans="1:73" ht="12.75">
      <c r="A163" s="125"/>
      <c r="B163" s="125"/>
      <c r="C163" s="125"/>
      <c r="D163" s="125"/>
      <c r="E163" s="125"/>
      <c r="F163" s="125"/>
      <c r="G163" s="125"/>
      <c r="H163" s="125"/>
      <c r="I163" s="125"/>
      <c r="J163" s="125"/>
      <c r="K163" s="125"/>
      <c r="L163" s="125"/>
      <c r="M163" s="125"/>
      <c r="N163" s="125"/>
      <c r="O163" s="125"/>
      <c r="P163" s="125"/>
      <c r="Q163" s="125"/>
      <c r="R163" s="125"/>
      <c r="S163" s="125"/>
      <c r="T163" s="125"/>
      <c r="U163" s="125"/>
      <c r="V163" s="125"/>
      <c r="W163" s="125"/>
      <c r="X163" s="125"/>
      <c r="Y163" s="125"/>
      <c r="Z163" s="125"/>
      <c r="AA163" s="125"/>
      <c r="AB163" s="125"/>
      <c r="AC163" s="125"/>
      <c r="AD163" s="125"/>
      <c r="AE163" s="125"/>
      <c r="AF163" s="125"/>
      <c r="AG163" s="125"/>
      <c r="AH163" s="125"/>
      <c r="AI163" s="125"/>
      <c r="AJ163" s="125"/>
      <c r="AK163" s="125"/>
      <c r="AL163" s="125"/>
      <c r="AM163" s="125"/>
      <c r="AN163" s="125"/>
      <c r="AO163" s="125"/>
      <c r="AP163" s="125"/>
      <c r="AQ163" s="125"/>
      <c r="AR163" s="125"/>
      <c r="AS163" s="125"/>
      <c r="AT163" s="125"/>
      <c r="AU163" s="125"/>
      <c r="AV163" s="125"/>
      <c r="AW163" s="125"/>
      <c r="AX163" s="125"/>
      <c r="AY163" s="125"/>
      <c r="AZ163" s="125"/>
      <c r="BA163" s="125"/>
      <c r="BB163" s="125"/>
      <c r="BC163" s="125"/>
      <c r="BD163" s="125"/>
      <c r="BE163" s="125"/>
      <c r="BF163" s="125"/>
      <c r="BG163" s="125"/>
      <c r="BH163" s="125"/>
      <c r="BI163" s="125"/>
      <c r="BJ163" s="125"/>
      <c r="BK163" s="125"/>
      <c r="BL163" s="125"/>
      <c r="BM163" s="125"/>
      <c r="BN163" s="125"/>
      <c r="BO163" s="125"/>
      <c r="BP163" s="125"/>
      <c r="BQ163" s="125"/>
      <c r="BR163" s="125"/>
      <c r="BS163" s="125"/>
      <c r="BT163" s="125"/>
      <c r="BU163" s="125"/>
    </row>
    <row r="164" spans="1:73" ht="12.75">
      <c r="A164" s="125"/>
      <c r="B164" s="125"/>
      <c r="C164" s="125"/>
      <c r="D164" s="125"/>
      <c r="E164" s="125"/>
      <c r="F164" s="125"/>
      <c r="G164" s="125"/>
      <c r="H164" s="125"/>
      <c r="I164" s="125"/>
      <c r="J164" s="125"/>
      <c r="K164" s="125"/>
      <c r="L164" s="125"/>
      <c r="M164" s="125"/>
      <c r="N164" s="125"/>
      <c r="O164" s="125"/>
      <c r="P164" s="125"/>
      <c r="Q164" s="125"/>
      <c r="R164" s="125"/>
      <c r="S164" s="125"/>
      <c r="T164" s="125"/>
      <c r="U164" s="125"/>
      <c r="V164" s="125"/>
      <c r="W164" s="125"/>
      <c r="X164" s="125"/>
      <c r="Y164" s="125"/>
      <c r="Z164" s="125"/>
      <c r="AA164" s="125"/>
      <c r="AB164" s="125"/>
      <c r="AC164" s="125"/>
      <c r="AD164" s="125"/>
      <c r="AE164" s="125"/>
      <c r="AF164" s="125"/>
      <c r="AG164" s="125"/>
      <c r="AH164" s="125"/>
      <c r="AI164" s="125"/>
      <c r="AJ164" s="125"/>
      <c r="AK164" s="125"/>
      <c r="AL164" s="125"/>
      <c r="AM164" s="125"/>
      <c r="AN164" s="125"/>
      <c r="AO164" s="125"/>
      <c r="AP164" s="125"/>
      <c r="AQ164" s="125"/>
      <c r="AR164" s="125"/>
      <c r="AS164" s="125"/>
      <c r="AT164" s="125"/>
      <c r="AU164" s="125"/>
      <c r="AV164" s="125"/>
      <c r="AW164" s="125"/>
      <c r="AX164" s="125"/>
      <c r="AY164" s="125"/>
      <c r="AZ164" s="125"/>
      <c r="BA164" s="125"/>
      <c r="BB164" s="125"/>
      <c r="BC164" s="125"/>
      <c r="BD164" s="125"/>
      <c r="BE164" s="125"/>
      <c r="BF164" s="125"/>
      <c r="BG164" s="125"/>
      <c r="BH164" s="125"/>
      <c r="BI164" s="125"/>
      <c r="BJ164" s="125"/>
      <c r="BK164" s="125"/>
      <c r="BL164" s="125"/>
      <c r="BM164" s="125"/>
      <c r="BN164" s="125"/>
      <c r="BO164" s="125"/>
      <c r="BP164" s="125"/>
      <c r="BQ164" s="125"/>
      <c r="BR164" s="125"/>
      <c r="BS164" s="125"/>
      <c r="BT164" s="125"/>
      <c r="BU164" s="125"/>
    </row>
    <row r="165" spans="1:73" ht="12.75">
      <c r="A165" s="125"/>
      <c r="B165" s="125"/>
      <c r="C165" s="125"/>
      <c r="D165" s="125"/>
      <c r="E165" s="125"/>
      <c r="F165" s="125"/>
      <c r="G165" s="125"/>
      <c r="H165" s="125"/>
      <c r="I165" s="125"/>
      <c r="J165" s="125"/>
      <c r="K165" s="125"/>
      <c r="L165" s="125"/>
      <c r="M165" s="125"/>
      <c r="N165" s="125"/>
      <c r="O165" s="125"/>
      <c r="P165" s="125"/>
      <c r="Q165" s="125"/>
      <c r="R165" s="125"/>
      <c r="S165" s="125"/>
      <c r="T165" s="125"/>
      <c r="U165" s="125"/>
      <c r="V165" s="125"/>
      <c r="W165" s="125"/>
      <c r="X165" s="125"/>
      <c r="Y165" s="125"/>
      <c r="Z165" s="125"/>
      <c r="AA165" s="125"/>
      <c r="AB165" s="125"/>
      <c r="AC165" s="125"/>
      <c r="AD165" s="125"/>
      <c r="AE165" s="125"/>
      <c r="AF165" s="125"/>
      <c r="AG165" s="125"/>
      <c r="AH165" s="125"/>
      <c r="AI165" s="125"/>
      <c r="AJ165" s="125"/>
      <c r="AK165" s="125"/>
      <c r="AL165" s="125"/>
      <c r="AM165" s="125"/>
      <c r="AN165" s="125"/>
      <c r="AO165" s="125"/>
      <c r="AP165" s="125"/>
      <c r="AQ165" s="125"/>
      <c r="AR165" s="125"/>
      <c r="AS165" s="125"/>
      <c r="AT165" s="125"/>
      <c r="AU165" s="125"/>
      <c r="AV165" s="125"/>
      <c r="AW165" s="125"/>
      <c r="AX165" s="125"/>
      <c r="AY165" s="125"/>
      <c r="AZ165" s="125"/>
      <c r="BA165" s="125"/>
      <c r="BB165" s="125"/>
      <c r="BC165" s="125"/>
      <c r="BD165" s="125"/>
      <c r="BE165" s="125"/>
      <c r="BF165" s="125"/>
      <c r="BG165" s="125"/>
      <c r="BH165" s="125"/>
      <c r="BI165" s="125"/>
      <c r="BJ165" s="125"/>
      <c r="BK165" s="125"/>
      <c r="BL165" s="125"/>
      <c r="BM165" s="125"/>
      <c r="BN165" s="125"/>
      <c r="BO165" s="125"/>
      <c r="BP165" s="125"/>
      <c r="BQ165" s="125"/>
      <c r="BR165" s="125"/>
      <c r="BS165" s="125"/>
      <c r="BT165" s="125"/>
      <c r="BU165" s="125"/>
    </row>
    <row r="166" spans="1:73" ht="12.75">
      <c r="A166" s="125"/>
      <c r="B166" s="125"/>
      <c r="C166" s="125"/>
      <c r="D166" s="125"/>
      <c r="E166" s="125"/>
      <c r="F166" s="125"/>
      <c r="G166" s="125"/>
      <c r="H166" s="125"/>
      <c r="I166" s="125"/>
      <c r="J166" s="125"/>
      <c r="K166" s="125"/>
      <c r="L166" s="125"/>
      <c r="M166" s="125"/>
      <c r="N166" s="125"/>
      <c r="O166" s="125"/>
      <c r="P166" s="125"/>
      <c r="Q166" s="125"/>
      <c r="R166" s="125"/>
      <c r="S166" s="125"/>
      <c r="T166" s="125"/>
      <c r="U166" s="125"/>
      <c r="V166" s="125"/>
      <c r="W166" s="125"/>
      <c r="X166" s="125"/>
      <c r="Y166" s="125"/>
      <c r="Z166" s="125"/>
      <c r="AA166" s="125"/>
      <c r="AB166" s="125"/>
      <c r="AC166" s="125"/>
      <c r="AD166" s="125"/>
      <c r="AE166" s="125"/>
      <c r="AF166" s="125"/>
      <c r="AG166" s="125"/>
      <c r="AH166" s="125"/>
      <c r="AI166" s="125"/>
      <c r="AJ166" s="125"/>
      <c r="AK166" s="125"/>
      <c r="AL166" s="125"/>
      <c r="AM166" s="125"/>
      <c r="AN166" s="125"/>
      <c r="AO166" s="125"/>
      <c r="AP166" s="125"/>
      <c r="AQ166" s="125"/>
      <c r="AR166" s="125"/>
      <c r="AS166" s="125"/>
      <c r="AT166" s="125"/>
      <c r="AU166" s="125"/>
      <c r="AV166" s="125"/>
      <c r="AW166" s="125"/>
      <c r="AX166" s="125"/>
      <c r="AY166" s="125"/>
      <c r="AZ166" s="125"/>
      <c r="BA166" s="125"/>
      <c r="BB166" s="125"/>
      <c r="BC166" s="125"/>
      <c r="BD166" s="125"/>
      <c r="BE166" s="125"/>
      <c r="BF166" s="125"/>
      <c r="BG166" s="125"/>
      <c r="BH166" s="125"/>
      <c r="BI166" s="125"/>
      <c r="BJ166" s="125"/>
      <c r="BK166" s="125"/>
      <c r="BL166" s="125"/>
      <c r="BM166" s="125"/>
      <c r="BN166" s="125"/>
      <c r="BO166" s="125"/>
      <c r="BP166" s="125"/>
      <c r="BQ166" s="125"/>
      <c r="BR166" s="125"/>
      <c r="BS166" s="125"/>
      <c r="BT166" s="125"/>
      <c r="BU166" s="125"/>
    </row>
    <row r="167" spans="1:73" ht="12.75">
      <c r="A167" s="125"/>
      <c r="B167" s="125"/>
      <c r="C167" s="125"/>
      <c r="D167" s="125"/>
      <c r="E167" s="125"/>
      <c r="F167" s="125"/>
      <c r="G167" s="125"/>
      <c r="H167" s="125"/>
      <c r="I167" s="125"/>
      <c r="J167" s="125"/>
      <c r="K167" s="125"/>
      <c r="L167" s="125"/>
      <c r="M167" s="125"/>
      <c r="N167" s="125"/>
      <c r="O167" s="125"/>
      <c r="P167" s="125"/>
      <c r="Q167" s="125"/>
      <c r="R167" s="125"/>
      <c r="S167" s="125"/>
      <c r="T167" s="125"/>
      <c r="U167" s="125"/>
      <c r="V167" s="125"/>
      <c r="W167" s="125"/>
      <c r="X167" s="125"/>
      <c r="Y167" s="125"/>
      <c r="Z167" s="125"/>
      <c r="AA167" s="125"/>
      <c r="AB167" s="125"/>
      <c r="AC167" s="125"/>
      <c r="AD167" s="125"/>
      <c r="AE167" s="125"/>
      <c r="AF167" s="125"/>
      <c r="AG167" s="125"/>
      <c r="AH167" s="125"/>
      <c r="AI167" s="125"/>
      <c r="AJ167" s="125"/>
      <c r="AK167" s="125"/>
      <c r="AL167" s="125"/>
      <c r="AM167" s="125"/>
      <c r="AN167" s="125"/>
      <c r="AO167" s="125"/>
      <c r="AP167" s="125"/>
      <c r="AQ167" s="125"/>
      <c r="AR167" s="125"/>
      <c r="AS167" s="125"/>
      <c r="AT167" s="125"/>
      <c r="AU167" s="125"/>
      <c r="AV167" s="125"/>
      <c r="AW167" s="125"/>
      <c r="AX167" s="125"/>
      <c r="AY167" s="125"/>
      <c r="AZ167" s="125"/>
      <c r="BA167" s="125"/>
      <c r="BB167" s="125"/>
      <c r="BC167" s="125"/>
      <c r="BD167" s="125"/>
      <c r="BE167" s="125"/>
      <c r="BF167" s="125"/>
      <c r="BG167" s="125"/>
      <c r="BH167" s="125"/>
      <c r="BI167" s="125"/>
      <c r="BJ167" s="125"/>
      <c r="BK167" s="125"/>
      <c r="BL167" s="125"/>
      <c r="BM167" s="125"/>
      <c r="BN167" s="125"/>
      <c r="BO167" s="125"/>
      <c r="BP167" s="125"/>
      <c r="BQ167" s="125"/>
      <c r="BR167" s="125"/>
      <c r="BS167" s="125"/>
      <c r="BT167" s="125"/>
      <c r="BU167" s="125"/>
    </row>
    <row r="168" spans="1:73" ht="12.75">
      <c r="A168" s="125"/>
      <c r="B168" s="125"/>
      <c r="C168" s="125"/>
      <c r="D168" s="125"/>
      <c r="E168" s="125"/>
      <c r="F168" s="125"/>
      <c r="G168" s="125"/>
      <c r="H168" s="125"/>
      <c r="I168" s="125"/>
      <c r="J168" s="125"/>
      <c r="K168" s="125"/>
      <c r="L168" s="125"/>
      <c r="M168" s="125"/>
      <c r="N168" s="125"/>
      <c r="O168" s="125"/>
      <c r="P168" s="125"/>
      <c r="Q168" s="125"/>
      <c r="R168" s="125"/>
      <c r="S168" s="125"/>
      <c r="T168" s="125"/>
      <c r="U168" s="125"/>
      <c r="V168" s="125"/>
      <c r="W168" s="125"/>
      <c r="X168" s="125"/>
      <c r="Y168" s="125"/>
      <c r="Z168" s="125"/>
      <c r="AA168" s="125"/>
      <c r="AB168" s="125"/>
      <c r="AC168" s="125"/>
      <c r="AD168" s="125"/>
      <c r="AE168" s="125"/>
      <c r="AF168" s="125"/>
      <c r="AG168" s="125"/>
      <c r="AH168" s="125"/>
      <c r="AI168" s="125"/>
      <c r="AJ168" s="125"/>
      <c r="AK168" s="125"/>
      <c r="AL168" s="125"/>
      <c r="AM168" s="125"/>
      <c r="AN168" s="125"/>
      <c r="AO168" s="125"/>
      <c r="AP168" s="125"/>
      <c r="AQ168" s="125"/>
      <c r="AR168" s="125"/>
      <c r="AS168" s="125"/>
      <c r="AT168" s="125"/>
      <c r="AU168" s="125"/>
      <c r="AV168" s="125"/>
      <c r="AW168" s="125"/>
      <c r="AX168" s="125"/>
      <c r="AY168" s="125"/>
      <c r="AZ168" s="125"/>
      <c r="BA168" s="125"/>
      <c r="BB168" s="125"/>
      <c r="BC168" s="125"/>
      <c r="BD168" s="125"/>
      <c r="BE168" s="125"/>
      <c r="BF168" s="125"/>
      <c r="BG168" s="125"/>
      <c r="BH168" s="125"/>
      <c r="BI168" s="125"/>
      <c r="BJ168" s="125"/>
      <c r="BK168" s="125"/>
      <c r="BL168" s="125"/>
      <c r="BM168" s="125"/>
      <c r="BN168" s="125"/>
      <c r="BO168" s="125"/>
      <c r="BP168" s="125"/>
      <c r="BQ168" s="125"/>
      <c r="BR168" s="125"/>
      <c r="BS168" s="125"/>
      <c r="BT168" s="125"/>
      <c r="BU168" s="125"/>
    </row>
    <row r="169" spans="1:73" ht="12.75">
      <c r="A169" s="125"/>
      <c r="B169" s="125"/>
      <c r="C169" s="125"/>
      <c r="D169" s="125"/>
      <c r="E169" s="125"/>
      <c r="F169" s="125"/>
      <c r="G169" s="125"/>
      <c r="H169" s="125"/>
      <c r="I169" s="125"/>
      <c r="J169" s="125"/>
      <c r="K169" s="125"/>
      <c r="L169" s="125"/>
      <c r="M169" s="125"/>
      <c r="N169" s="125"/>
      <c r="O169" s="125"/>
      <c r="P169" s="125"/>
      <c r="Q169" s="125"/>
      <c r="R169" s="125"/>
      <c r="S169" s="125"/>
      <c r="T169" s="125"/>
      <c r="U169" s="125"/>
      <c r="V169" s="125"/>
      <c r="W169" s="125"/>
      <c r="X169" s="125"/>
      <c r="Y169" s="125"/>
      <c r="Z169" s="125"/>
      <c r="AA169" s="125"/>
      <c r="AB169" s="125"/>
      <c r="AC169" s="125"/>
      <c r="AD169" s="125"/>
      <c r="AE169" s="125"/>
      <c r="AF169" s="125"/>
      <c r="AG169" s="125"/>
      <c r="AH169" s="125"/>
      <c r="AI169" s="125"/>
      <c r="AJ169" s="125"/>
      <c r="AK169" s="125"/>
      <c r="AL169" s="125"/>
      <c r="AM169" s="125"/>
      <c r="AN169" s="125"/>
      <c r="AO169" s="125"/>
      <c r="AP169" s="125"/>
      <c r="AQ169" s="125"/>
      <c r="AR169" s="125"/>
      <c r="AS169" s="125"/>
      <c r="AT169" s="125"/>
      <c r="AU169" s="125"/>
      <c r="AV169" s="125"/>
      <c r="AW169" s="125"/>
      <c r="AX169" s="125"/>
      <c r="AY169" s="125"/>
      <c r="AZ169" s="125"/>
      <c r="BA169" s="125"/>
      <c r="BB169" s="125"/>
      <c r="BC169" s="125"/>
      <c r="BD169" s="125"/>
      <c r="BE169" s="125"/>
      <c r="BF169" s="125"/>
      <c r="BG169" s="125"/>
      <c r="BH169" s="125"/>
      <c r="BI169" s="125"/>
      <c r="BJ169" s="125"/>
      <c r="BK169" s="125"/>
      <c r="BL169" s="125"/>
      <c r="BM169" s="125"/>
      <c r="BN169" s="125"/>
      <c r="BO169" s="125"/>
      <c r="BP169" s="125"/>
      <c r="BQ169" s="125"/>
      <c r="BR169" s="125"/>
      <c r="BS169" s="125"/>
      <c r="BT169" s="125"/>
      <c r="BU169" s="125"/>
    </row>
    <row r="170" spans="1:73" ht="12.75">
      <c r="A170" s="125"/>
      <c r="B170" s="125"/>
      <c r="C170" s="125"/>
      <c r="D170" s="125"/>
      <c r="E170" s="125"/>
      <c r="F170" s="125"/>
      <c r="G170" s="125"/>
      <c r="H170" s="125"/>
      <c r="I170" s="125"/>
      <c r="J170" s="125"/>
      <c r="K170" s="125"/>
      <c r="L170" s="125"/>
      <c r="M170" s="125"/>
      <c r="N170" s="125"/>
      <c r="O170" s="125"/>
      <c r="P170" s="125"/>
      <c r="Q170" s="125"/>
      <c r="R170" s="125"/>
      <c r="S170" s="125"/>
      <c r="T170" s="125"/>
      <c r="U170" s="125"/>
      <c r="V170" s="125"/>
      <c r="W170" s="125"/>
      <c r="X170" s="125"/>
      <c r="Y170" s="125"/>
      <c r="Z170" s="125"/>
      <c r="AA170" s="125"/>
      <c r="AB170" s="125"/>
      <c r="AC170" s="125"/>
      <c r="AD170" s="125"/>
      <c r="AE170" s="125"/>
      <c r="AF170" s="125"/>
      <c r="AG170" s="125"/>
      <c r="AH170" s="125"/>
      <c r="AI170" s="125"/>
      <c r="AJ170" s="125"/>
      <c r="AK170" s="125"/>
      <c r="AL170" s="125"/>
      <c r="AM170" s="125"/>
      <c r="AN170" s="125"/>
      <c r="AO170" s="125"/>
      <c r="AP170" s="125"/>
      <c r="AQ170" s="125"/>
      <c r="AR170" s="125"/>
      <c r="AS170" s="125"/>
      <c r="AT170" s="125"/>
      <c r="AU170" s="125"/>
      <c r="AV170" s="125"/>
      <c r="AW170" s="125"/>
      <c r="AX170" s="125"/>
      <c r="AY170" s="125"/>
      <c r="AZ170" s="125"/>
      <c r="BA170" s="125"/>
      <c r="BB170" s="125"/>
      <c r="BC170" s="125"/>
      <c r="BD170" s="125"/>
      <c r="BE170" s="125"/>
      <c r="BF170" s="125"/>
      <c r="BG170" s="125"/>
      <c r="BH170" s="125"/>
      <c r="BI170" s="125"/>
      <c r="BJ170" s="125"/>
      <c r="BK170" s="125"/>
      <c r="BL170" s="125"/>
      <c r="BM170" s="125"/>
      <c r="BN170" s="125"/>
      <c r="BO170" s="125"/>
      <c r="BP170" s="125"/>
      <c r="BQ170" s="125"/>
      <c r="BR170" s="125"/>
      <c r="BS170" s="125"/>
      <c r="BT170" s="125"/>
      <c r="BU170" s="125"/>
    </row>
    <row r="171" spans="1:73" ht="12.75">
      <c r="A171" s="125"/>
      <c r="B171" s="125"/>
      <c r="C171" s="125"/>
      <c r="D171" s="125"/>
      <c r="E171" s="125"/>
      <c r="F171" s="125"/>
      <c r="G171" s="125"/>
      <c r="H171" s="125"/>
      <c r="I171" s="125"/>
      <c r="J171" s="125"/>
      <c r="K171" s="125"/>
      <c r="L171" s="125"/>
      <c r="M171" s="125"/>
      <c r="N171" s="125"/>
      <c r="O171" s="125"/>
      <c r="P171" s="125"/>
      <c r="Q171" s="125"/>
      <c r="R171" s="125"/>
      <c r="S171" s="125"/>
      <c r="T171" s="125"/>
      <c r="U171" s="125"/>
      <c r="V171" s="125"/>
      <c r="W171" s="125"/>
      <c r="X171" s="125"/>
      <c r="Y171" s="125"/>
      <c r="Z171" s="125"/>
      <c r="AA171" s="125"/>
      <c r="AB171" s="125"/>
      <c r="AC171" s="125"/>
      <c r="AD171" s="125"/>
      <c r="AE171" s="125"/>
      <c r="AF171" s="125"/>
      <c r="AG171" s="125"/>
      <c r="AH171" s="125"/>
      <c r="AI171" s="125"/>
      <c r="AJ171" s="125"/>
      <c r="AK171" s="125"/>
      <c r="AL171" s="125"/>
      <c r="AM171" s="125"/>
      <c r="AN171" s="125"/>
      <c r="AO171" s="125"/>
      <c r="AP171" s="125"/>
      <c r="AQ171" s="125"/>
      <c r="AR171" s="125"/>
      <c r="AS171" s="125"/>
      <c r="AT171" s="125"/>
      <c r="AU171" s="125"/>
      <c r="AV171" s="125"/>
      <c r="AW171" s="125"/>
      <c r="AX171" s="125"/>
      <c r="AY171" s="125"/>
      <c r="AZ171" s="125"/>
      <c r="BA171" s="125"/>
      <c r="BB171" s="125"/>
      <c r="BC171" s="125"/>
      <c r="BD171" s="125"/>
      <c r="BE171" s="125"/>
      <c r="BF171" s="125"/>
      <c r="BG171" s="125"/>
      <c r="BH171" s="125"/>
      <c r="BI171" s="125"/>
      <c r="BJ171" s="125"/>
      <c r="BK171" s="125"/>
      <c r="BL171" s="125"/>
      <c r="BM171" s="125"/>
      <c r="BN171" s="125"/>
      <c r="BO171" s="125"/>
      <c r="BP171" s="125"/>
      <c r="BQ171" s="125"/>
      <c r="BR171" s="125"/>
      <c r="BS171" s="125"/>
      <c r="BT171" s="125"/>
      <c r="BU171" s="125"/>
    </row>
    <row r="172" spans="1:73" ht="12.75">
      <c r="A172" s="125"/>
      <c r="B172" s="125"/>
      <c r="C172" s="125"/>
      <c r="D172" s="125"/>
      <c r="E172" s="125"/>
      <c r="F172" s="125"/>
      <c r="G172" s="125"/>
      <c r="H172" s="125"/>
      <c r="I172" s="125"/>
      <c r="J172" s="125"/>
      <c r="K172" s="125"/>
      <c r="L172" s="125"/>
      <c r="M172" s="125"/>
      <c r="N172" s="125"/>
      <c r="O172" s="125"/>
      <c r="P172" s="125"/>
      <c r="Q172" s="125"/>
      <c r="R172" s="125"/>
      <c r="S172" s="125"/>
      <c r="T172" s="125"/>
      <c r="U172" s="125"/>
      <c r="V172" s="125"/>
      <c r="W172" s="125"/>
      <c r="X172" s="125"/>
      <c r="Y172" s="125"/>
      <c r="Z172" s="125"/>
      <c r="AA172" s="125"/>
      <c r="AB172" s="125"/>
      <c r="AC172" s="125"/>
      <c r="AD172" s="125"/>
      <c r="AE172" s="125"/>
      <c r="AF172" s="125"/>
      <c r="AG172" s="125"/>
      <c r="AH172" s="125"/>
      <c r="AI172" s="125"/>
      <c r="AJ172" s="125"/>
      <c r="AK172" s="125"/>
      <c r="AL172" s="125"/>
      <c r="AM172" s="125"/>
      <c r="AN172" s="125"/>
      <c r="AO172" s="125"/>
      <c r="AP172" s="125"/>
      <c r="AQ172" s="125"/>
      <c r="AR172" s="125"/>
      <c r="AS172" s="125"/>
      <c r="AT172" s="125"/>
      <c r="AU172" s="125"/>
      <c r="AV172" s="125"/>
      <c r="AW172" s="125"/>
      <c r="AX172" s="125"/>
      <c r="AY172" s="125"/>
      <c r="AZ172" s="125"/>
      <c r="BA172" s="125"/>
      <c r="BB172" s="125"/>
      <c r="BC172" s="125"/>
      <c r="BD172" s="125"/>
      <c r="BE172" s="125"/>
      <c r="BF172" s="125"/>
      <c r="BG172" s="125"/>
      <c r="BH172" s="125"/>
      <c r="BI172" s="125"/>
      <c r="BJ172" s="125"/>
      <c r="BK172" s="125"/>
      <c r="BL172" s="125"/>
      <c r="BM172" s="125"/>
      <c r="BN172" s="125"/>
      <c r="BO172" s="125"/>
      <c r="BP172" s="125"/>
      <c r="BQ172" s="125"/>
      <c r="BR172" s="125"/>
      <c r="BS172" s="125"/>
      <c r="BT172" s="125"/>
      <c r="BU172" s="125"/>
    </row>
    <row r="173" spans="1:73" ht="12.75">
      <c r="A173" s="125"/>
      <c r="B173" s="125"/>
      <c r="C173" s="125"/>
      <c r="D173" s="125"/>
      <c r="E173" s="125"/>
      <c r="F173" s="125"/>
      <c r="G173" s="125"/>
      <c r="H173" s="125"/>
      <c r="I173" s="125"/>
      <c r="J173" s="125"/>
      <c r="K173" s="125"/>
      <c r="L173" s="125"/>
      <c r="M173" s="125"/>
      <c r="N173" s="125"/>
      <c r="O173" s="125"/>
      <c r="P173" s="125"/>
      <c r="Q173" s="125"/>
      <c r="R173" s="125"/>
      <c r="S173" s="125"/>
      <c r="T173" s="125"/>
      <c r="U173" s="125"/>
      <c r="V173" s="125"/>
      <c r="W173" s="125"/>
      <c r="X173" s="125"/>
      <c r="Y173" s="125"/>
      <c r="Z173" s="125"/>
      <c r="AA173" s="125"/>
      <c r="AB173" s="125"/>
      <c r="AC173" s="125"/>
      <c r="AD173" s="125"/>
      <c r="AE173" s="125"/>
      <c r="AF173" s="125"/>
      <c r="AG173" s="125"/>
      <c r="AH173" s="125"/>
      <c r="AI173" s="125"/>
      <c r="AJ173" s="125"/>
      <c r="AK173" s="125"/>
      <c r="AL173" s="125"/>
      <c r="AM173" s="125"/>
      <c r="AN173" s="125"/>
      <c r="AO173" s="125"/>
      <c r="AP173" s="125"/>
      <c r="AQ173" s="125"/>
      <c r="AR173" s="125"/>
      <c r="AS173" s="125"/>
      <c r="AT173" s="125"/>
      <c r="AU173" s="125"/>
      <c r="AV173" s="125"/>
      <c r="AW173" s="125"/>
      <c r="AX173" s="125"/>
      <c r="AY173" s="125"/>
      <c r="AZ173" s="125"/>
      <c r="BA173" s="125"/>
      <c r="BB173" s="125"/>
      <c r="BC173" s="125"/>
      <c r="BD173" s="125"/>
      <c r="BE173" s="125"/>
      <c r="BF173" s="125"/>
      <c r="BG173" s="125"/>
      <c r="BH173" s="125"/>
      <c r="BI173" s="125"/>
      <c r="BJ173" s="125"/>
      <c r="BK173" s="125"/>
      <c r="BL173" s="125"/>
      <c r="BM173" s="125"/>
      <c r="BN173" s="125"/>
      <c r="BO173" s="125"/>
      <c r="BP173" s="125"/>
      <c r="BQ173" s="125"/>
      <c r="BR173" s="125"/>
      <c r="BS173" s="125"/>
      <c r="BT173" s="125"/>
      <c r="BU173" s="125"/>
    </row>
    <row r="174" spans="1:73" ht="12.75">
      <c r="A174" s="125"/>
      <c r="B174" s="125"/>
      <c r="C174" s="125"/>
      <c r="D174" s="125"/>
      <c r="E174" s="125"/>
      <c r="F174" s="125"/>
      <c r="G174" s="125"/>
      <c r="H174" s="125"/>
      <c r="I174" s="125"/>
      <c r="J174" s="125"/>
      <c r="K174" s="125"/>
      <c r="L174" s="125"/>
      <c r="M174" s="125"/>
      <c r="N174" s="125"/>
      <c r="O174" s="125"/>
      <c r="P174" s="125"/>
      <c r="Q174" s="125"/>
      <c r="R174" s="125"/>
      <c r="S174" s="125"/>
      <c r="T174" s="125"/>
      <c r="U174" s="125"/>
      <c r="V174" s="125"/>
      <c r="W174" s="125"/>
      <c r="X174" s="125"/>
      <c r="Y174" s="125"/>
      <c r="Z174" s="125"/>
      <c r="AA174" s="125"/>
      <c r="AB174" s="125"/>
      <c r="AC174" s="125"/>
      <c r="AD174" s="125"/>
      <c r="AE174" s="125"/>
      <c r="AF174" s="125"/>
      <c r="AG174" s="125"/>
      <c r="AH174" s="125"/>
      <c r="AI174" s="125"/>
      <c r="AJ174" s="125"/>
      <c r="AK174" s="125"/>
      <c r="AL174" s="125"/>
      <c r="AM174" s="125"/>
      <c r="AN174" s="125"/>
      <c r="AO174" s="125"/>
      <c r="AP174" s="125"/>
      <c r="AQ174" s="125"/>
      <c r="AR174" s="125"/>
      <c r="AS174" s="125"/>
      <c r="AT174" s="125"/>
      <c r="AU174" s="125"/>
      <c r="AV174" s="125"/>
      <c r="AW174" s="125"/>
      <c r="AX174" s="125"/>
      <c r="AY174" s="125"/>
      <c r="AZ174" s="125"/>
      <c r="BA174" s="125"/>
      <c r="BB174" s="125"/>
      <c r="BC174" s="125"/>
      <c r="BD174" s="125"/>
      <c r="BE174" s="125"/>
      <c r="BF174" s="125"/>
      <c r="BG174" s="125"/>
      <c r="BH174" s="125"/>
      <c r="BI174" s="125"/>
      <c r="BJ174" s="125"/>
      <c r="BK174" s="125"/>
      <c r="BL174" s="125"/>
      <c r="BM174" s="125"/>
      <c r="BN174" s="125"/>
      <c r="BO174" s="125"/>
      <c r="BP174" s="125"/>
      <c r="BQ174" s="125"/>
      <c r="BR174" s="125"/>
      <c r="BS174" s="125"/>
      <c r="BT174" s="125"/>
      <c r="BU174" s="125"/>
    </row>
    <row r="175" spans="1:73" ht="12.75">
      <c r="A175" s="125"/>
      <c r="B175" s="125"/>
      <c r="C175" s="125"/>
      <c r="D175" s="125"/>
      <c r="E175" s="125"/>
      <c r="F175" s="125"/>
      <c r="G175" s="125"/>
      <c r="H175" s="125"/>
      <c r="I175" s="125"/>
      <c r="J175" s="125"/>
      <c r="K175" s="125"/>
      <c r="L175" s="125"/>
      <c r="M175" s="125"/>
      <c r="N175" s="125"/>
      <c r="O175" s="125"/>
      <c r="P175" s="125"/>
      <c r="Q175" s="125"/>
      <c r="R175" s="125"/>
      <c r="S175" s="125"/>
      <c r="T175" s="125"/>
      <c r="U175" s="125"/>
      <c r="V175" s="125"/>
      <c r="W175" s="125"/>
      <c r="X175" s="125"/>
      <c r="Y175" s="125"/>
      <c r="Z175" s="125"/>
      <c r="AA175" s="125"/>
      <c r="AB175" s="125"/>
      <c r="AC175" s="125"/>
      <c r="AD175" s="125"/>
      <c r="AE175" s="125"/>
      <c r="AF175" s="125"/>
      <c r="AG175" s="125"/>
      <c r="AH175" s="125"/>
      <c r="AI175" s="125"/>
      <c r="AJ175" s="125"/>
      <c r="AK175" s="125"/>
      <c r="AL175" s="125"/>
      <c r="AM175" s="125"/>
      <c r="AN175" s="125"/>
      <c r="AO175" s="125"/>
      <c r="AP175" s="125"/>
      <c r="AQ175" s="125"/>
      <c r="AR175" s="125"/>
      <c r="AS175" s="125"/>
      <c r="AT175" s="125"/>
      <c r="AU175" s="125"/>
      <c r="AV175" s="125"/>
      <c r="AW175" s="125"/>
      <c r="AX175" s="125"/>
      <c r="AY175" s="125"/>
      <c r="AZ175" s="125"/>
      <c r="BA175" s="125"/>
      <c r="BB175" s="125"/>
      <c r="BC175" s="125"/>
      <c r="BD175" s="125"/>
      <c r="BE175" s="125"/>
      <c r="BF175" s="125"/>
      <c r="BG175" s="125"/>
      <c r="BH175" s="125"/>
      <c r="BI175" s="125"/>
      <c r="BJ175" s="125"/>
      <c r="BK175" s="125"/>
      <c r="BL175" s="125"/>
      <c r="BM175" s="125"/>
      <c r="BN175" s="125"/>
      <c r="BO175" s="125"/>
      <c r="BP175" s="125"/>
      <c r="BQ175" s="125"/>
      <c r="BR175" s="125"/>
      <c r="BS175" s="125"/>
      <c r="BT175" s="125"/>
      <c r="BU175" s="125"/>
    </row>
    <row r="176" spans="1:73" ht="12.75">
      <c r="A176" s="125"/>
      <c r="B176" s="125"/>
      <c r="C176" s="125"/>
      <c r="D176" s="125"/>
      <c r="E176" s="125"/>
      <c r="F176" s="125"/>
      <c r="G176" s="125"/>
      <c r="H176" s="125"/>
      <c r="I176" s="125"/>
      <c r="J176" s="125"/>
      <c r="K176" s="125"/>
      <c r="L176" s="125"/>
      <c r="M176" s="125"/>
      <c r="N176" s="125"/>
      <c r="O176" s="125"/>
      <c r="P176" s="125"/>
      <c r="Q176" s="125"/>
      <c r="R176" s="125"/>
      <c r="S176" s="125"/>
      <c r="T176" s="125"/>
      <c r="U176" s="125"/>
      <c r="V176" s="125"/>
      <c r="W176" s="125"/>
      <c r="X176" s="125"/>
      <c r="Y176" s="125"/>
      <c r="Z176" s="125"/>
      <c r="AA176" s="125"/>
      <c r="AB176" s="125"/>
      <c r="AC176" s="125"/>
      <c r="AD176" s="125"/>
      <c r="AE176" s="125"/>
      <c r="AF176" s="125"/>
      <c r="AG176" s="125"/>
      <c r="AH176" s="125"/>
      <c r="AI176" s="125"/>
      <c r="AJ176" s="125"/>
      <c r="AK176" s="125"/>
      <c r="AL176" s="125"/>
      <c r="AM176" s="125"/>
      <c r="AN176" s="125"/>
      <c r="AO176" s="125"/>
      <c r="AP176" s="125"/>
      <c r="AQ176" s="125"/>
      <c r="AR176" s="125"/>
      <c r="AS176" s="125"/>
      <c r="AT176" s="125"/>
      <c r="AU176" s="125"/>
      <c r="AV176" s="125"/>
      <c r="AW176" s="125"/>
      <c r="AX176" s="125"/>
      <c r="AY176" s="125"/>
      <c r="AZ176" s="125"/>
      <c r="BA176" s="125"/>
      <c r="BB176" s="125"/>
      <c r="BC176" s="125"/>
      <c r="BD176" s="125"/>
      <c r="BE176" s="125"/>
      <c r="BF176" s="125"/>
      <c r="BG176" s="125"/>
      <c r="BH176" s="125"/>
      <c r="BI176" s="125"/>
      <c r="BJ176" s="125"/>
      <c r="BK176" s="125"/>
      <c r="BL176" s="125"/>
      <c r="BM176" s="125"/>
      <c r="BN176" s="125"/>
      <c r="BO176" s="125"/>
      <c r="BP176" s="125"/>
      <c r="BQ176" s="125"/>
      <c r="BR176" s="125"/>
      <c r="BS176" s="125"/>
      <c r="BT176" s="125"/>
      <c r="BU176" s="125"/>
    </row>
    <row r="177" spans="1:73" ht="12.75">
      <c r="A177" s="125"/>
      <c r="B177" s="125"/>
      <c r="C177" s="125"/>
      <c r="D177" s="125"/>
      <c r="E177" s="125"/>
      <c r="F177" s="125"/>
      <c r="G177" s="125"/>
      <c r="H177" s="125"/>
      <c r="I177" s="125"/>
      <c r="J177" s="125"/>
      <c r="K177" s="125"/>
      <c r="L177" s="125"/>
      <c r="M177" s="125"/>
      <c r="N177" s="125"/>
      <c r="O177" s="125"/>
      <c r="P177" s="125"/>
      <c r="Q177" s="125"/>
      <c r="R177" s="125"/>
      <c r="S177" s="125"/>
      <c r="T177" s="125"/>
      <c r="U177" s="125"/>
      <c r="V177" s="125"/>
      <c r="W177" s="125"/>
      <c r="X177" s="125"/>
      <c r="Y177" s="125"/>
      <c r="Z177" s="125"/>
      <c r="AA177" s="125"/>
      <c r="AB177" s="125"/>
      <c r="AC177" s="125"/>
      <c r="AD177" s="125"/>
      <c r="AE177" s="125"/>
      <c r="AF177" s="125"/>
      <c r="AG177" s="125"/>
      <c r="AH177" s="125"/>
      <c r="AI177" s="125"/>
      <c r="AJ177" s="125"/>
      <c r="AK177" s="125"/>
      <c r="AL177" s="125"/>
      <c r="AM177" s="125"/>
      <c r="AN177" s="125"/>
      <c r="AO177" s="125"/>
      <c r="AP177" s="125"/>
      <c r="AQ177" s="125"/>
      <c r="AR177" s="125"/>
      <c r="AS177" s="125"/>
      <c r="AT177" s="125"/>
      <c r="AU177" s="125"/>
      <c r="AV177" s="125"/>
      <c r="AW177" s="125"/>
      <c r="AX177" s="125"/>
      <c r="AY177" s="125"/>
      <c r="AZ177" s="125"/>
      <c r="BA177" s="125"/>
      <c r="BB177" s="125"/>
      <c r="BC177" s="125"/>
      <c r="BD177" s="125"/>
      <c r="BE177" s="125"/>
      <c r="BF177" s="125"/>
      <c r="BG177" s="125"/>
      <c r="BH177" s="125"/>
      <c r="BI177" s="125"/>
      <c r="BJ177" s="125"/>
      <c r="BK177" s="125"/>
      <c r="BL177" s="125"/>
      <c r="BM177" s="125"/>
      <c r="BN177" s="125"/>
      <c r="BO177" s="125"/>
      <c r="BP177" s="125"/>
      <c r="BQ177" s="125"/>
      <c r="BR177" s="125"/>
      <c r="BS177" s="125"/>
      <c r="BT177" s="125"/>
      <c r="BU177" s="125"/>
    </row>
    <row r="178" spans="1:73" ht="12.75">
      <c r="A178" s="125"/>
      <c r="B178" s="125"/>
      <c r="C178" s="125"/>
      <c r="D178" s="125"/>
      <c r="E178" s="125"/>
      <c r="F178" s="125"/>
      <c r="G178" s="125"/>
      <c r="H178" s="125"/>
      <c r="I178" s="125"/>
      <c r="J178" s="125"/>
      <c r="K178" s="125"/>
      <c r="L178" s="125"/>
      <c r="M178" s="125"/>
      <c r="N178" s="125"/>
      <c r="O178" s="125"/>
      <c r="P178" s="125"/>
      <c r="Q178" s="125"/>
      <c r="R178" s="125"/>
      <c r="S178" s="125"/>
      <c r="T178" s="125"/>
      <c r="U178" s="125"/>
      <c r="V178" s="125"/>
      <c r="W178" s="125"/>
      <c r="X178" s="125"/>
      <c r="Y178" s="125"/>
      <c r="Z178" s="125"/>
      <c r="AA178" s="125"/>
      <c r="AB178" s="125"/>
      <c r="AC178" s="125"/>
      <c r="AD178" s="125"/>
      <c r="AE178" s="125"/>
      <c r="AF178" s="125"/>
      <c r="AG178" s="125"/>
      <c r="AH178" s="125"/>
      <c r="AI178" s="125"/>
      <c r="AJ178" s="125"/>
      <c r="AK178" s="125"/>
      <c r="AL178" s="125"/>
      <c r="AM178" s="125"/>
      <c r="AN178" s="125"/>
      <c r="AO178" s="125"/>
      <c r="AP178" s="125"/>
      <c r="AQ178" s="125"/>
      <c r="AR178" s="125"/>
      <c r="AS178" s="125"/>
      <c r="AT178" s="125"/>
      <c r="AU178" s="125"/>
      <c r="AV178" s="125"/>
      <c r="AW178" s="125"/>
      <c r="AX178" s="125"/>
      <c r="AY178" s="125"/>
      <c r="AZ178" s="125"/>
      <c r="BA178" s="125"/>
      <c r="BB178" s="125"/>
      <c r="BC178" s="125"/>
      <c r="BD178" s="125"/>
      <c r="BE178" s="125"/>
      <c r="BF178" s="125"/>
      <c r="BG178" s="125"/>
      <c r="BH178" s="125"/>
      <c r="BI178" s="125"/>
      <c r="BJ178" s="125"/>
      <c r="BK178" s="125"/>
      <c r="BL178" s="125"/>
      <c r="BM178" s="125"/>
      <c r="BN178" s="125"/>
      <c r="BO178" s="125"/>
      <c r="BP178" s="125"/>
      <c r="BQ178" s="125"/>
      <c r="BR178" s="125"/>
      <c r="BS178" s="125"/>
      <c r="BT178" s="125"/>
      <c r="BU178" s="125"/>
    </row>
    <row r="179" spans="1:73" ht="12.75">
      <c r="A179" s="125"/>
      <c r="B179" s="125"/>
      <c r="C179" s="125"/>
      <c r="D179" s="125"/>
      <c r="E179" s="125"/>
      <c r="F179" s="125"/>
      <c r="G179" s="125"/>
      <c r="H179" s="125"/>
      <c r="I179" s="125"/>
      <c r="J179" s="125"/>
      <c r="K179" s="125"/>
      <c r="L179" s="125"/>
      <c r="M179" s="125"/>
      <c r="N179" s="125"/>
      <c r="O179" s="125"/>
      <c r="P179" s="125"/>
      <c r="Q179" s="125"/>
      <c r="R179" s="125"/>
      <c r="S179" s="125"/>
      <c r="T179" s="125"/>
      <c r="U179" s="125"/>
      <c r="V179" s="125"/>
      <c r="W179" s="125"/>
      <c r="X179" s="125"/>
      <c r="Y179" s="125"/>
      <c r="Z179" s="125"/>
      <c r="AA179" s="125"/>
      <c r="AB179" s="125"/>
      <c r="AC179" s="125"/>
      <c r="AD179" s="125"/>
      <c r="AE179" s="125"/>
      <c r="AF179" s="125"/>
      <c r="AG179" s="125"/>
      <c r="AH179" s="125"/>
      <c r="AI179" s="125"/>
      <c r="AJ179" s="125"/>
      <c r="AK179" s="125"/>
      <c r="AL179" s="125"/>
      <c r="AM179" s="125"/>
      <c r="AN179" s="125"/>
      <c r="AO179" s="125"/>
      <c r="AP179" s="125"/>
      <c r="AQ179" s="125"/>
      <c r="AR179" s="125"/>
      <c r="AS179" s="125"/>
      <c r="AT179" s="125"/>
      <c r="AU179" s="125"/>
      <c r="AV179" s="125"/>
      <c r="AW179" s="125"/>
      <c r="AX179" s="125"/>
      <c r="AY179" s="125"/>
      <c r="AZ179" s="125"/>
      <c r="BA179" s="125"/>
      <c r="BB179" s="125"/>
      <c r="BC179" s="125"/>
      <c r="BD179" s="125"/>
      <c r="BE179" s="125"/>
      <c r="BF179" s="125"/>
      <c r="BG179" s="125"/>
      <c r="BH179" s="125"/>
      <c r="BI179" s="125"/>
      <c r="BJ179" s="125"/>
      <c r="BK179" s="125"/>
      <c r="BL179" s="125"/>
      <c r="BM179" s="125"/>
      <c r="BN179" s="125"/>
      <c r="BO179" s="125"/>
      <c r="BP179" s="125"/>
      <c r="BQ179" s="125"/>
      <c r="BR179" s="125"/>
      <c r="BS179" s="125"/>
      <c r="BT179" s="125"/>
      <c r="BU179" s="125"/>
    </row>
    <row r="180" spans="1:73" ht="12.75">
      <c r="A180" s="125"/>
      <c r="B180" s="125"/>
      <c r="C180" s="125"/>
      <c r="D180" s="125"/>
      <c r="E180" s="125"/>
      <c r="F180" s="125"/>
      <c r="G180" s="125"/>
      <c r="H180" s="125"/>
      <c r="I180" s="125"/>
      <c r="J180" s="125"/>
      <c r="K180" s="125"/>
      <c r="L180" s="125"/>
      <c r="M180" s="125"/>
      <c r="N180" s="125"/>
      <c r="O180" s="125"/>
      <c r="P180" s="125"/>
      <c r="Q180" s="125"/>
      <c r="R180" s="125"/>
      <c r="S180" s="125"/>
      <c r="T180" s="125"/>
      <c r="U180" s="125"/>
      <c r="V180" s="125"/>
      <c r="W180" s="125"/>
      <c r="X180" s="125"/>
      <c r="Y180" s="125"/>
      <c r="Z180" s="125"/>
      <c r="AA180" s="125"/>
      <c r="AB180" s="125"/>
      <c r="AC180" s="125"/>
      <c r="AD180" s="125"/>
      <c r="AE180" s="125"/>
      <c r="AF180" s="125"/>
      <c r="AG180" s="125"/>
      <c r="AH180" s="125"/>
      <c r="AI180" s="125"/>
      <c r="AJ180" s="125"/>
      <c r="AK180" s="125"/>
      <c r="AL180" s="125"/>
      <c r="AM180" s="125"/>
      <c r="AN180" s="125"/>
      <c r="AO180" s="125"/>
      <c r="AP180" s="125"/>
      <c r="AQ180" s="125"/>
      <c r="AR180" s="125"/>
      <c r="AS180" s="125"/>
      <c r="AT180" s="125"/>
      <c r="AU180" s="125"/>
      <c r="AV180" s="125"/>
      <c r="AW180" s="125"/>
      <c r="AX180" s="125"/>
      <c r="AY180" s="125"/>
      <c r="AZ180" s="125"/>
      <c r="BA180" s="125"/>
      <c r="BB180" s="125"/>
      <c r="BC180" s="125"/>
      <c r="BD180" s="125"/>
      <c r="BE180" s="125"/>
      <c r="BF180" s="125"/>
      <c r="BG180" s="125"/>
      <c r="BH180" s="125"/>
      <c r="BI180" s="125"/>
      <c r="BJ180" s="125"/>
      <c r="BK180" s="125"/>
      <c r="BL180" s="125"/>
      <c r="BM180" s="125"/>
      <c r="BN180" s="125"/>
      <c r="BO180" s="125"/>
      <c r="BP180" s="125"/>
      <c r="BQ180" s="125"/>
      <c r="BR180" s="125"/>
      <c r="BS180" s="125"/>
      <c r="BT180" s="125"/>
      <c r="BU180" s="125"/>
    </row>
    <row r="181" spans="1:73" ht="12.75">
      <c r="A181" s="125"/>
      <c r="B181" s="125"/>
      <c r="C181" s="125"/>
      <c r="D181" s="125"/>
      <c r="E181" s="125"/>
      <c r="F181" s="125"/>
      <c r="G181" s="125"/>
      <c r="H181" s="125"/>
      <c r="I181" s="125"/>
      <c r="J181" s="125"/>
      <c r="K181" s="125"/>
      <c r="L181" s="125"/>
      <c r="M181" s="125"/>
      <c r="N181" s="125"/>
      <c r="O181" s="125"/>
      <c r="P181" s="125"/>
      <c r="Q181" s="125"/>
      <c r="R181" s="125"/>
      <c r="S181" s="125"/>
      <c r="T181" s="125"/>
      <c r="U181" s="125"/>
      <c r="V181" s="125"/>
      <c r="W181" s="125"/>
      <c r="X181" s="125"/>
      <c r="Y181" s="125"/>
      <c r="Z181" s="125"/>
      <c r="AA181" s="125"/>
      <c r="AB181" s="125"/>
      <c r="AC181" s="125"/>
      <c r="AD181" s="125"/>
      <c r="AE181" s="125"/>
      <c r="AF181" s="125"/>
      <c r="AG181" s="125"/>
      <c r="AH181" s="125"/>
      <c r="AI181" s="125"/>
      <c r="AJ181" s="125"/>
      <c r="AK181" s="125"/>
      <c r="AL181" s="125"/>
      <c r="AM181" s="125"/>
      <c r="AN181" s="125"/>
      <c r="AO181" s="125"/>
      <c r="AP181" s="125"/>
      <c r="AQ181" s="125"/>
      <c r="AR181" s="125"/>
      <c r="AS181" s="125"/>
      <c r="AT181" s="125"/>
      <c r="AU181" s="125"/>
      <c r="AV181" s="125"/>
      <c r="AW181" s="125"/>
      <c r="AX181" s="125"/>
      <c r="AY181" s="125"/>
      <c r="AZ181" s="125"/>
      <c r="BA181" s="125"/>
      <c r="BB181" s="125"/>
      <c r="BC181" s="125"/>
      <c r="BD181" s="125"/>
      <c r="BE181" s="125"/>
      <c r="BF181" s="125"/>
      <c r="BG181" s="125"/>
      <c r="BH181" s="125"/>
      <c r="BI181" s="125"/>
      <c r="BJ181" s="125"/>
      <c r="BK181" s="125"/>
      <c r="BL181" s="125"/>
      <c r="BM181" s="125"/>
      <c r="BN181" s="125"/>
      <c r="BO181" s="125"/>
      <c r="BP181" s="125"/>
      <c r="BQ181" s="125"/>
      <c r="BR181" s="125"/>
      <c r="BS181" s="125"/>
      <c r="BT181" s="125"/>
      <c r="BU181" s="125"/>
    </row>
    <row r="182" spans="1:73" ht="12.75">
      <c r="A182" s="125"/>
      <c r="B182" s="125"/>
      <c r="C182" s="125"/>
      <c r="D182" s="125"/>
      <c r="E182" s="125"/>
      <c r="F182" s="125"/>
      <c r="G182" s="125"/>
      <c r="H182" s="125"/>
      <c r="I182" s="125"/>
      <c r="J182" s="125"/>
      <c r="K182" s="125"/>
      <c r="L182" s="125"/>
      <c r="M182" s="125"/>
      <c r="N182" s="125"/>
      <c r="O182" s="125"/>
      <c r="P182" s="125"/>
      <c r="Q182" s="125"/>
      <c r="R182" s="125"/>
      <c r="S182" s="125"/>
      <c r="T182" s="125"/>
      <c r="U182" s="125"/>
      <c r="V182" s="125"/>
      <c r="W182" s="125"/>
      <c r="X182" s="125"/>
      <c r="Y182" s="125"/>
      <c r="Z182" s="125"/>
      <c r="AA182" s="125"/>
      <c r="AB182" s="125"/>
      <c r="AC182" s="125"/>
      <c r="AD182" s="125"/>
      <c r="AE182" s="125"/>
      <c r="AF182" s="125"/>
      <c r="AG182" s="125"/>
      <c r="AH182" s="125"/>
      <c r="AI182" s="125"/>
      <c r="AJ182" s="125"/>
      <c r="AK182" s="125"/>
      <c r="AL182" s="125"/>
      <c r="AM182" s="125"/>
      <c r="AN182" s="125"/>
      <c r="AO182" s="125"/>
      <c r="AP182" s="125"/>
      <c r="AQ182" s="125"/>
      <c r="AR182" s="125"/>
      <c r="AS182" s="125"/>
      <c r="AT182" s="125"/>
      <c r="AU182" s="125"/>
      <c r="AV182" s="125"/>
      <c r="AW182" s="125"/>
      <c r="AX182" s="125"/>
      <c r="AY182" s="125"/>
      <c r="AZ182" s="125"/>
      <c r="BA182" s="125"/>
      <c r="BB182" s="125"/>
      <c r="BC182" s="125"/>
      <c r="BD182" s="125"/>
      <c r="BE182" s="125"/>
      <c r="BF182" s="125"/>
      <c r="BG182" s="125"/>
      <c r="BH182" s="125"/>
      <c r="BI182" s="125"/>
      <c r="BJ182" s="125"/>
      <c r="BK182" s="125"/>
      <c r="BL182" s="125"/>
      <c r="BM182" s="125"/>
      <c r="BN182" s="125"/>
      <c r="BO182" s="125"/>
      <c r="BP182" s="125"/>
      <c r="BQ182" s="125"/>
      <c r="BR182" s="125"/>
      <c r="BS182" s="125"/>
      <c r="BT182" s="125"/>
      <c r="BU182" s="125"/>
    </row>
    <row r="183" spans="1:73" ht="12.75">
      <c r="A183" s="125"/>
      <c r="B183" s="125"/>
      <c r="C183" s="125"/>
      <c r="D183" s="125"/>
      <c r="E183" s="125"/>
      <c r="F183" s="125"/>
      <c r="G183" s="125"/>
      <c r="H183" s="125"/>
      <c r="I183" s="125"/>
      <c r="J183" s="125"/>
      <c r="K183" s="125"/>
      <c r="L183" s="125"/>
      <c r="M183" s="125"/>
      <c r="N183" s="125"/>
      <c r="O183" s="125"/>
      <c r="P183" s="125"/>
      <c r="Q183" s="125"/>
      <c r="R183" s="125"/>
      <c r="S183" s="125"/>
      <c r="T183" s="125"/>
      <c r="U183" s="125"/>
      <c r="V183" s="125"/>
      <c r="W183" s="125"/>
      <c r="X183" s="125"/>
      <c r="Y183" s="125"/>
      <c r="Z183" s="125"/>
      <c r="AA183" s="125"/>
      <c r="AB183" s="125"/>
      <c r="AC183" s="125"/>
      <c r="AD183" s="125"/>
      <c r="AE183" s="125"/>
      <c r="AF183" s="125"/>
      <c r="AG183" s="125"/>
      <c r="AH183" s="125"/>
      <c r="AI183" s="125"/>
      <c r="AJ183" s="125"/>
      <c r="AK183" s="125"/>
      <c r="AL183" s="125"/>
      <c r="AM183" s="125"/>
      <c r="AN183" s="125"/>
      <c r="AO183" s="125"/>
      <c r="AP183" s="125"/>
      <c r="AQ183" s="125"/>
      <c r="AR183" s="125"/>
      <c r="AS183" s="125"/>
      <c r="AT183" s="125"/>
      <c r="AU183" s="125"/>
      <c r="AV183" s="125"/>
      <c r="AW183" s="125"/>
      <c r="AX183" s="125"/>
      <c r="AY183" s="125"/>
      <c r="AZ183" s="125"/>
      <c r="BA183" s="125"/>
      <c r="BB183" s="125"/>
      <c r="BC183" s="125"/>
      <c r="BD183" s="125"/>
      <c r="BE183" s="125"/>
      <c r="BF183" s="125"/>
      <c r="BG183" s="125"/>
      <c r="BH183" s="125"/>
      <c r="BI183" s="125"/>
      <c r="BJ183" s="125"/>
      <c r="BK183" s="125"/>
      <c r="BL183" s="125"/>
      <c r="BM183" s="125"/>
      <c r="BN183" s="125"/>
      <c r="BO183" s="125"/>
      <c r="BP183" s="125"/>
      <c r="BQ183" s="125"/>
      <c r="BR183" s="125"/>
      <c r="BS183" s="125"/>
      <c r="BT183" s="125"/>
      <c r="BU183" s="125"/>
    </row>
    <row r="184" spans="1:73" ht="12.75">
      <c r="A184" s="125"/>
      <c r="B184" s="125"/>
      <c r="C184" s="125"/>
      <c r="D184" s="125"/>
      <c r="E184" s="125"/>
      <c r="F184" s="125"/>
      <c r="G184" s="125"/>
      <c r="H184" s="125"/>
      <c r="I184" s="125"/>
      <c r="J184" s="125"/>
      <c r="K184" s="125"/>
      <c r="L184" s="125"/>
      <c r="M184" s="125"/>
      <c r="N184" s="125"/>
      <c r="O184" s="125"/>
      <c r="P184" s="125"/>
      <c r="Q184" s="125"/>
      <c r="R184" s="125"/>
      <c r="S184" s="125"/>
      <c r="T184" s="125"/>
      <c r="U184" s="125"/>
      <c r="V184" s="125"/>
      <c r="W184" s="125"/>
      <c r="X184" s="125"/>
      <c r="Y184" s="125"/>
      <c r="Z184" s="125"/>
      <c r="AA184" s="125"/>
      <c r="AB184" s="125"/>
      <c r="AC184" s="125"/>
      <c r="AD184" s="125"/>
      <c r="AE184" s="125"/>
      <c r="AF184" s="125"/>
      <c r="AG184" s="125"/>
      <c r="AH184" s="125"/>
      <c r="AI184" s="125"/>
      <c r="AJ184" s="125"/>
      <c r="AK184" s="125"/>
      <c r="AL184" s="125"/>
      <c r="AM184" s="125"/>
      <c r="AN184" s="125"/>
      <c r="AO184" s="125"/>
      <c r="AP184" s="125"/>
      <c r="AQ184" s="125"/>
      <c r="AR184" s="125"/>
      <c r="AS184" s="125"/>
      <c r="AT184" s="125"/>
      <c r="AU184" s="125"/>
      <c r="AV184" s="125"/>
      <c r="AW184" s="125"/>
      <c r="AX184" s="125"/>
      <c r="AY184" s="125"/>
      <c r="AZ184" s="125"/>
      <c r="BA184" s="125"/>
      <c r="BB184" s="125"/>
      <c r="BC184" s="125"/>
      <c r="BD184" s="125"/>
      <c r="BE184" s="125"/>
      <c r="BF184" s="125"/>
      <c r="BG184" s="125"/>
      <c r="BH184" s="125"/>
      <c r="BI184" s="125"/>
      <c r="BJ184" s="125"/>
      <c r="BK184" s="125"/>
      <c r="BL184" s="125"/>
      <c r="BM184" s="125"/>
      <c r="BN184" s="125"/>
      <c r="BO184" s="125"/>
      <c r="BP184" s="125"/>
      <c r="BQ184" s="125"/>
      <c r="BR184" s="125"/>
      <c r="BS184" s="125"/>
      <c r="BT184" s="125"/>
      <c r="BU184" s="125"/>
    </row>
    <row r="185" spans="1:73" ht="12.75">
      <c r="A185" s="125"/>
      <c r="B185" s="125"/>
      <c r="C185" s="125"/>
      <c r="D185" s="125"/>
      <c r="E185" s="125"/>
      <c r="F185" s="125"/>
      <c r="G185" s="125"/>
      <c r="H185" s="125"/>
      <c r="I185" s="125"/>
      <c r="J185" s="125"/>
      <c r="K185" s="125"/>
      <c r="L185" s="125"/>
      <c r="M185" s="125"/>
      <c r="N185" s="125"/>
      <c r="O185" s="125"/>
      <c r="P185" s="125"/>
      <c r="Q185" s="125"/>
      <c r="R185" s="125"/>
      <c r="S185" s="125"/>
      <c r="T185" s="125"/>
      <c r="U185" s="125"/>
      <c r="V185" s="125"/>
      <c r="W185" s="125"/>
      <c r="X185" s="125"/>
      <c r="Y185" s="125"/>
      <c r="Z185" s="125"/>
      <c r="AA185" s="125"/>
      <c r="AB185" s="125"/>
      <c r="AC185" s="125"/>
      <c r="AD185" s="125"/>
      <c r="AE185" s="125"/>
      <c r="AF185" s="125"/>
      <c r="AG185" s="125"/>
      <c r="AH185" s="125"/>
      <c r="AI185" s="125"/>
      <c r="AJ185" s="125"/>
      <c r="AK185" s="125"/>
      <c r="AL185" s="125"/>
      <c r="AM185" s="125"/>
      <c r="AN185" s="125"/>
      <c r="AO185" s="125"/>
      <c r="AP185" s="125"/>
      <c r="AQ185" s="125"/>
      <c r="AR185" s="125"/>
      <c r="AS185" s="125"/>
      <c r="AT185" s="125"/>
      <c r="AU185" s="125"/>
      <c r="AV185" s="125"/>
      <c r="AW185" s="125"/>
      <c r="AX185" s="125"/>
      <c r="AY185" s="125"/>
      <c r="AZ185" s="125"/>
      <c r="BA185" s="125"/>
      <c r="BB185" s="125"/>
      <c r="BC185" s="125"/>
      <c r="BD185" s="125"/>
      <c r="BE185" s="125"/>
      <c r="BF185" s="125"/>
      <c r="BG185" s="125"/>
      <c r="BH185" s="125"/>
      <c r="BI185" s="125"/>
      <c r="BJ185" s="125"/>
      <c r="BK185" s="125"/>
      <c r="BL185" s="125"/>
      <c r="BM185" s="125"/>
      <c r="BN185" s="125"/>
      <c r="BO185" s="125"/>
      <c r="BP185" s="125"/>
      <c r="BQ185" s="125"/>
      <c r="BR185" s="125"/>
      <c r="BS185" s="125"/>
      <c r="BT185" s="125"/>
      <c r="BU185" s="125"/>
    </row>
    <row r="186" spans="1:73" ht="12.75">
      <c r="A186" s="125"/>
      <c r="B186" s="125"/>
      <c r="C186" s="125"/>
      <c r="D186" s="125"/>
      <c r="E186" s="125"/>
      <c r="F186" s="125"/>
      <c r="G186" s="125"/>
      <c r="H186" s="125"/>
      <c r="I186" s="125"/>
      <c r="J186" s="125"/>
      <c r="K186" s="125"/>
      <c r="L186" s="125"/>
      <c r="M186" s="125"/>
      <c r="N186" s="125"/>
      <c r="O186" s="125"/>
      <c r="P186" s="125"/>
      <c r="Q186" s="125"/>
      <c r="R186" s="125"/>
      <c r="S186" s="125"/>
      <c r="T186" s="125"/>
      <c r="U186" s="125"/>
      <c r="V186" s="125"/>
      <c r="W186" s="125"/>
      <c r="X186" s="125"/>
      <c r="Y186" s="125"/>
      <c r="Z186" s="125"/>
      <c r="AA186" s="125"/>
      <c r="AB186" s="125"/>
      <c r="AC186" s="125"/>
      <c r="AD186" s="125"/>
      <c r="AE186" s="125"/>
      <c r="AF186" s="125"/>
      <c r="AG186" s="125"/>
      <c r="AH186" s="125"/>
      <c r="AI186" s="125"/>
      <c r="AJ186" s="125"/>
      <c r="AK186" s="125"/>
      <c r="AL186" s="125"/>
      <c r="AM186" s="125"/>
      <c r="AN186" s="125"/>
      <c r="AO186" s="125"/>
      <c r="AP186" s="125"/>
      <c r="AQ186" s="125"/>
      <c r="AR186" s="125"/>
      <c r="AS186" s="125"/>
      <c r="AT186" s="125"/>
      <c r="AU186" s="125"/>
      <c r="AV186" s="125"/>
      <c r="AW186" s="125"/>
      <c r="AX186" s="125"/>
      <c r="AY186" s="125"/>
      <c r="AZ186" s="125"/>
      <c r="BA186" s="125"/>
      <c r="BB186" s="125"/>
      <c r="BC186" s="125"/>
      <c r="BD186" s="125"/>
      <c r="BE186" s="125"/>
      <c r="BF186" s="125"/>
      <c r="BG186" s="125"/>
      <c r="BH186" s="125"/>
      <c r="BI186" s="125"/>
      <c r="BJ186" s="125"/>
      <c r="BK186" s="125"/>
      <c r="BL186" s="125"/>
      <c r="BM186" s="125"/>
      <c r="BN186" s="125"/>
      <c r="BO186" s="125"/>
      <c r="BP186" s="125"/>
      <c r="BQ186" s="125"/>
      <c r="BR186" s="125"/>
      <c r="BS186" s="125"/>
      <c r="BT186" s="125"/>
      <c r="BU186" s="125"/>
    </row>
    <row r="187" spans="1:73" ht="12.75">
      <c r="A187" s="125"/>
      <c r="B187" s="125"/>
      <c r="C187" s="125"/>
      <c r="D187" s="125"/>
      <c r="E187" s="125"/>
      <c r="F187" s="125"/>
      <c r="G187" s="125"/>
      <c r="H187" s="125"/>
      <c r="I187" s="125"/>
      <c r="J187" s="125"/>
      <c r="K187" s="125"/>
      <c r="L187" s="125"/>
      <c r="M187" s="125"/>
      <c r="N187" s="125"/>
      <c r="O187" s="125"/>
      <c r="P187" s="125"/>
      <c r="Q187" s="125"/>
      <c r="R187" s="125"/>
      <c r="S187" s="125"/>
      <c r="T187" s="125"/>
      <c r="U187" s="125"/>
      <c r="V187" s="125"/>
      <c r="W187" s="125"/>
      <c r="X187" s="125"/>
      <c r="Y187" s="125"/>
      <c r="Z187" s="125"/>
      <c r="AA187" s="125"/>
      <c r="AB187" s="125"/>
      <c r="AC187" s="125"/>
      <c r="AD187" s="125"/>
      <c r="AE187" s="125"/>
      <c r="AF187" s="125"/>
      <c r="AG187" s="125"/>
      <c r="AH187" s="125"/>
      <c r="AI187" s="125"/>
      <c r="AJ187" s="125"/>
      <c r="AK187" s="125"/>
      <c r="AL187" s="125"/>
      <c r="AM187" s="125"/>
      <c r="AN187" s="125"/>
      <c r="AO187" s="125"/>
      <c r="AP187" s="125"/>
      <c r="AQ187" s="125"/>
      <c r="AR187" s="125"/>
      <c r="AS187" s="125"/>
      <c r="AT187" s="125"/>
      <c r="AU187" s="125"/>
      <c r="AV187" s="125"/>
      <c r="AW187" s="125"/>
      <c r="AX187" s="125"/>
      <c r="AY187" s="125"/>
      <c r="AZ187" s="125"/>
      <c r="BA187" s="125"/>
      <c r="BB187" s="125"/>
      <c r="BC187" s="125"/>
      <c r="BD187" s="125"/>
      <c r="BE187" s="125"/>
      <c r="BF187" s="125"/>
      <c r="BG187" s="125"/>
      <c r="BH187" s="125"/>
      <c r="BI187" s="125"/>
      <c r="BJ187" s="125"/>
      <c r="BK187" s="125"/>
      <c r="BL187" s="125"/>
      <c r="BM187" s="125"/>
      <c r="BN187" s="125"/>
      <c r="BO187" s="125"/>
      <c r="BP187" s="125"/>
      <c r="BQ187" s="125"/>
      <c r="BR187" s="125"/>
      <c r="BS187" s="125"/>
      <c r="BT187" s="125"/>
      <c r="BU187" s="125"/>
    </row>
    <row r="188" spans="1:73" ht="12.75">
      <c r="A188" s="125"/>
      <c r="B188" s="125"/>
      <c r="C188" s="125"/>
      <c r="D188" s="125"/>
      <c r="E188" s="125"/>
      <c r="F188" s="125"/>
      <c r="G188" s="125"/>
      <c r="H188" s="125"/>
      <c r="I188" s="125"/>
      <c r="J188" s="125"/>
      <c r="K188" s="125"/>
      <c r="L188" s="125"/>
      <c r="M188" s="125"/>
      <c r="N188" s="125"/>
      <c r="O188" s="125"/>
      <c r="P188" s="125"/>
      <c r="Q188" s="125"/>
      <c r="R188" s="125"/>
      <c r="S188" s="125"/>
      <c r="T188" s="125"/>
      <c r="U188" s="125"/>
      <c r="V188" s="125"/>
      <c r="W188" s="125"/>
      <c r="X188" s="125"/>
      <c r="Y188" s="125"/>
      <c r="Z188" s="125"/>
      <c r="AA188" s="125"/>
      <c r="AB188" s="125"/>
      <c r="AC188" s="125"/>
      <c r="AD188" s="125"/>
      <c r="AE188" s="125"/>
      <c r="AF188" s="125"/>
      <c r="AG188" s="125"/>
      <c r="AH188" s="125"/>
      <c r="AI188" s="125"/>
      <c r="AJ188" s="125"/>
      <c r="AK188" s="125"/>
      <c r="AL188" s="125"/>
      <c r="AM188" s="125"/>
      <c r="AN188" s="125"/>
      <c r="AO188" s="125"/>
      <c r="AP188" s="125"/>
      <c r="AQ188" s="125"/>
      <c r="AR188" s="125"/>
      <c r="AS188" s="125"/>
      <c r="AT188" s="125"/>
      <c r="AU188" s="125"/>
      <c r="AV188" s="125"/>
      <c r="AW188" s="125"/>
      <c r="AX188" s="125"/>
      <c r="AY188" s="125"/>
      <c r="AZ188" s="125"/>
      <c r="BA188" s="125"/>
      <c r="BB188" s="125"/>
      <c r="BC188" s="125"/>
      <c r="BD188" s="125"/>
      <c r="BE188" s="125"/>
      <c r="BF188" s="125"/>
      <c r="BG188" s="125"/>
      <c r="BH188" s="125"/>
      <c r="BI188" s="125"/>
      <c r="BJ188" s="125"/>
      <c r="BK188" s="125"/>
      <c r="BL188" s="125"/>
      <c r="BM188" s="125"/>
      <c r="BN188" s="125"/>
      <c r="BO188" s="125"/>
      <c r="BP188" s="125"/>
      <c r="BQ188" s="125"/>
      <c r="BR188" s="125"/>
      <c r="BS188" s="125"/>
      <c r="BT188" s="125"/>
      <c r="BU188" s="12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939"/>
  <sheetViews>
    <sheetView workbookViewId="0"/>
  </sheetViews>
  <sheetFormatPr defaultColWidth="14.42578125" defaultRowHeight="15.75" customHeight="1"/>
  <cols>
    <col min="1" max="1" width="30.5703125" customWidth="1"/>
    <col min="3" max="3" width="13.42578125" customWidth="1"/>
    <col min="4" max="4" width="7.28515625" customWidth="1"/>
    <col min="5" max="5" width="25.5703125" customWidth="1"/>
  </cols>
  <sheetData>
    <row r="1" spans="1:26" ht="6.75" customHeight="1">
      <c r="A1" s="1"/>
      <c r="B1" s="1"/>
      <c r="C1" s="1"/>
      <c r="D1" s="1"/>
      <c r="E1" s="1"/>
      <c r="F1" s="1"/>
      <c r="H1" s="3"/>
      <c r="I1" s="3"/>
      <c r="J1" s="3"/>
      <c r="K1" s="3"/>
      <c r="L1" s="3"/>
      <c r="M1" s="3"/>
      <c r="N1" s="3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6.75" customHeight="1">
      <c r="A2" s="6"/>
      <c r="B2" s="6"/>
      <c r="C2" s="6"/>
      <c r="D2" s="8"/>
      <c r="E2" s="8"/>
      <c r="F2" s="8"/>
      <c r="G2" s="3"/>
      <c r="H2" s="3"/>
      <c r="I2" s="3"/>
      <c r="J2" s="3"/>
      <c r="K2" s="3"/>
      <c r="L2" s="3"/>
      <c r="M2" s="3"/>
      <c r="N2" s="3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8.75">
      <c r="A3" s="108" t="s">
        <v>309</v>
      </c>
      <c r="B3" s="6"/>
      <c r="C3" s="6"/>
      <c r="D3" s="6"/>
      <c r="E3" s="6"/>
      <c r="F3" s="6"/>
      <c r="G3" s="6"/>
      <c r="H3" s="3"/>
      <c r="I3" s="3"/>
      <c r="J3" s="3"/>
      <c r="K3" s="3"/>
      <c r="L3" s="3"/>
      <c r="M3" s="3"/>
      <c r="N3" s="3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>
      <c r="A4" s="1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>
      <c r="A5" s="156" t="s">
        <v>310</v>
      </c>
      <c r="B5" s="149"/>
      <c r="C5" s="149"/>
      <c r="D5" s="149"/>
      <c r="E5" s="149"/>
      <c r="F5" s="149"/>
      <c r="G5" s="66"/>
      <c r="I5" s="3"/>
      <c r="J5" s="3"/>
      <c r="K5" s="3"/>
      <c r="L5" s="3"/>
      <c r="M5" s="3"/>
      <c r="N5" s="3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>
      <c r="A6" s="13"/>
      <c r="B6" s="14" t="s">
        <v>4</v>
      </c>
      <c r="C6" s="15" t="s">
        <v>5</v>
      </c>
      <c r="D6" s="3"/>
      <c r="E6" s="1"/>
      <c r="F6" s="1"/>
      <c r="G6" s="1"/>
      <c r="I6" s="3"/>
      <c r="J6" s="3"/>
      <c r="K6" s="3"/>
      <c r="L6" s="3"/>
      <c r="M6" s="3"/>
      <c r="N6" s="3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>
      <c r="A7" s="17" t="s">
        <v>17</v>
      </c>
      <c r="B7" s="19">
        <f>COUNTIF(Data!BI$2:BI$500,1)</f>
        <v>11</v>
      </c>
      <c r="C7" s="20">
        <f>B7/COUNT(Data!$A$2:$A$500)</f>
        <v>0.36666666666666664</v>
      </c>
      <c r="D7" s="3"/>
      <c r="E7" s="1"/>
      <c r="F7" s="1"/>
      <c r="G7" s="25"/>
      <c r="I7" s="3"/>
      <c r="J7" s="3"/>
      <c r="K7" s="3"/>
      <c r="L7" s="3"/>
      <c r="M7" s="3"/>
      <c r="N7" s="3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>
      <c r="A8" s="17" t="s">
        <v>20</v>
      </c>
      <c r="B8" s="19">
        <f>COUNTIF(Data!BI$2:BI$500,2)</f>
        <v>7</v>
      </c>
      <c r="C8" s="20">
        <f>B8/COUNT(Data!$A$2:$A$500)</f>
        <v>0.23333333333333334</v>
      </c>
      <c r="D8" s="3"/>
      <c r="E8" s="1"/>
      <c r="F8" s="1"/>
      <c r="G8" s="25"/>
      <c r="I8" s="3"/>
      <c r="J8" s="3"/>
      <c r="K8" s="3"/>
      <c r="L8" s="3"/>
      <c r="M8" s="3"/>
      <c r="N8" s="3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>
      <c r="A9" s="17" t="s">
        <v>294</v>
      </c>
      <c r="B9" s="19">
        <f>COUNTIF(Data!BI$2:BI$500,9)</f>
        <v>12</v>
      </c>
      <c r="C9" s="20">
        <f>B9/COUNT(Data!$A$2:$A$500)</f>
        <v>0.4</v>
      </c>
      <c r="D9" s="3"/>
      <c r="G9" s="25"/>
      <c r="I9" s="3"/>
      <c r="J9" s="3"/>
      <c r="K9" s="3"/>
      <c r="L9" s="3"/>
      <c r="M9" s="3"/>
      <c r="N9" s="3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>
      <c r="A10" s="3"/>
      <c r="B10" s="3"/>
      <c r="C10" s="3"/>
      <c r="D10" s="3"/>
      <c r="I10" s="3"/>
      <c r="J10" s="3"/>
      <c r="K10" s="3"/>
      <c r="L10" s="3"/>
      <c r="M10" s="3"/>
      <c r="N10" s="3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>
      <c r="A11" s="1"/>
      <c r="B11" s="1"/>
      <c r="C11" s="1"/>
      <c r="D11" s="3"/>
      <c r="I11" s="3"/>
      <c r="J11" s="3"/>
      <c r="K11" s="3"/>
      <c r="L11" s="3"/>
      <c r="M11" s="3"/>
      <c r="N11" s="3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>
      <c r="A12" s="156" t="s">
        <v>192</v>
      </c>
      <c r="B12" s="149"/>
      <c r="C12" s="149"/>
      <c r="D12" s="149"/>
      <c r="E12" s="149"/>
      <c r="F12" s="149"/>
      <c r="G12" s="66"/>
      <c r="I12" s="3"/>
      <c r="J12" s="3"/>
      <c r="K12" s="3"/>
      <c r="L12" s="3"/>
      <c r="M12" s="3"/>
      <c r="N12" s="3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>
      <c r="A13" s="13"/>
      <c r="B13" s="36" t="s">
        <v>4</v>
      </c>
      <c r="C13" s="37" t="s">
        <v>5</v>
      </c>
      <c r="D13" s="3"/>
      <c r="E13" s="1"/>
      <c r="F13" s="1"/>
      <c r="G13" s="1"/>
      <c r="I13" s="3"/>
      <c r="J13" s="3"/>
      <c r="K13" s="3"/>
      <c r="L13" s="3"/>
      <c r="M13" s="3"/>
      <c r="N13" s="3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>
      <c r="A14" s="109" t="s">
        <v>193</v>
      </c>
      <c r="B14" s="19">
        <f>COUNTIF(Data!BJ$2:BJ$500,"Кращі, ніж очікував (-ла)")</f>
        <v>6</v>
      </c>
      <c r="C14" s="110">
        <f>B14/COUNT(Data!$A$2:$A$500)</f>
        <v>0.2</v>
      </c>
      <c r="D14" s="3"/>
      <c r="E14" s="1"/>
      <c r="F14" s="1"/>
      <c r="G14" s="25"/>
      <c r="I14" s="3"/>
      <c r="J14" s="3"/>
      <c r="K14" s="3"/>
      <c r="L14" s="3"/>
      <c r="M14" s="3"/>
      <c r="N14" s="3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>
      <c r="A15" s="109" t="s">
        <v>194</v>
      </c>
      <c r="B15" s="19">
        <f>COUNTIF(Data!BJ$2:BJ$500,"Гірші, ніж очікував (-ла)")</f>
        <v>4</v>
      </c>
      <c r="C15" s="110">
        <f>B15/COUNT(Data!$A$2:$A$500)</f>
        <v>0.13333333333333333</v>
      </c>
      <c r="D15" s="3"/>
      <c r="E15" s="1"/>
      <c r="F15" s="1"/>
      <c r="G15" s="25"/>
      <c r="I15" s="3"/>
      <c r="J15" s="3"/>
      <c r="K15" s="3"/>
      <c r="L15" s="3"/>
      <c r="M15" s="3"/>
      <c r="N15" s="3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>
      <c r="A16" s="109" t="s">
        <v>195</v>
      </c>
      <c r="B16" s="19">
        <f>COUNTIF(Data!BJ$2:BJ$500,"Відповідають очікуванням")</f>
        <v>16</v>
      </c>
      <c r="C16" s="110">
        <f>B16/COUNT(Data!$A$2:$A$500)</f>
        <v>0.53333333333333333</v>
      </c>
      <c r="D16" s="3"/>
      <c r="G16" s="25"/>
      <c r="I16" s="3"/>
      <c r="J16" s="3"/>
      <c r="K16" s="3"/>
      <c r="L16" s="3"/>
      <c r="M16" s="3"/>
      <c r="N16" s="3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>
      <c r="A17" s="109" t="s">
        <v>294</v>
      </c>
      <c r="B17" s="19">
        <f>COUNTIF(Data!BJ$2:BJ$500,"КН")</f>
        <v>4</v>
      </c>
      <c r="C17" s="110">
        <f>B17/COUNT(Data!$A$2:$A$500)</f>
        <v>0.13333333333333333</v>
      </c>
      <c r="D17" s="3"/>
      <c r="G17" s="25"/>
      <c r="I17" s="3"/>
      <c r="J17" s="3"/>
      <c r="K17" s="3"/>
      <c r="L17" s="3"/>
      <c r="M17" s="3"/>
      <c r="N17" s="3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>
      <c r="A18" s="1"/>
      <c r="B18" s="1"/>
      <c r="C18" s="25"/>
      <c r="D18" s="3"/>
      <c r="G18" s="25"/>
      <c r="H18" s="3"/>
      <c r="I18" s="3"/>
      <c r="J18" s="3"/>
      <c r="K18" s="3"/>
      <c r="L18" s="3"/>
      <c r="M18" s="3"/>
      <c r="N18" s="3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">
      <c r="A19" s="3"/>
      <c r="B19" s="3"/>
      <c r="C19" s="3"/>
      <c r="D19" s="3"/>
      <c r="E19" s="1"/>
      <c r="F19" s="1"/>
      <c r="G19" s="25"/>
      <c r="H19" s="3"/>
      <c r="I19" s="3"/>
      <c r="J19" s="3"/>
      <c r="K19" s="3"/>
      <c r="L19" s="3"/>
      <c r="M19" s="3"/>
      <c r="N19" s="3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>
      <c r="A20" s="156" t="s">
        <v>196</v>
      </c>
      <c r="B20" s="149"/>
      <c r="C20" s="149"/>
      <c r="D20" s="149"/>
      <c r="E20" s="149"/>
      <c r="F20" s="66"/>
      <c r="G20" s="1"/>
    </row>
    <row r="21" spans="1:26" ht="15">
      <c r="A21" s="13"/>
      <c r="B21" s="36" t="s">
        <v>4</v>
      </c>
      <c r="C21" s="37" t="s">
        <v>5</v>
      </c>
      <c r="D21" s="3"/>
      <c r="E21" s="1"/>
      <c r="F21" s="1"/>
      <c r="G21" s="25"/>
    </row>
    <row r="22" spans="1:26">
      <c r="A22" s="109" t="s">
        <v>197</v>
      </c>
      <c r="B22" s="19">
        <f>COUNTIF(Data!BK$2:BK$500,"Покращилась значно")</f>
        <v>9</v>
      </c>
      <c r="C22" s="110">
        <f>B22/COUNT(Data!$A$2:$A$500)</f>
        <v>0.3</v>
      </c>
      <c r="D22" s="3"/>
      <c r="E22" s="1"/>
      <c r="F22" s="1"/>
      <c r="G22" s="25"/>
    </row>
    <row r="23" spans="1:26">
      <c r="A23" s="109" t="s">
        <v>198</v>
      </c>
      <c r="B23" s="19">
        <f>COUNTIF(Data!BK$2:BK$500,"Покращилась несуттєво")</f>
        <v>3</v>
      </c>
      <c r="C23" s="110">
        <f>B23/COUNT(Data!$A$2:$A$500)</f>
        <v>0.1</v>
      </c>
      <c r="D23" s="3"/>
      <c r="E23" s="1"/>
      <c r="F23" s="1"/>
      <c r="G23" s="25"/>
    </row>
    <row r="24" spans="1:26">
      <c r="A24" s="109" t="s">
        <v>200</v>
      </c>
      <c r="B24" s="19">
        <f>COUNTIF(Data!BK$2:BK$500,"Залишилась без змін")</f>
        <v>10</v>
      </c>
      <c r="C24" s="110">
        <f>B24/COUNT(Data!$A$2:$A$500)</f>
        <v>0.33333333333333331</v>
      </c>
      <c r="D24" s="3"/>
      <c r="G24" s="25"/>
    </row>
    <row r="25" spans="1:26">
      <c r="A25" s="109" t="s">
        <v>201</v>
      </c>
      <c r="B25" s="19">
        <f>COUNTIF(Data!BK$2:BK$500,"Дещо погіршилася")</f>
        <v>0</v>
      </c>
      <c r="C25" s="110">
        <f>B25/COUNT(Data!$A$2:$A$500)</f>
        <v>0</v>
      </c>
      <c r="D25" s="3"/>
      <c r="G25" s="25"/>
    </row>
    <row r="26" spans="1:26">
      <c r="A26" s="109" t="s">
        <v>202</v>
      </c>
      <c r="B26" s="19">
        <f>COUNTIF(Data!BK$2:BK$500,"Значно погіршилася")</f>
        <v>0</v>
      </c>
      <c r="C26" s="110">
        <f>B26/COUNT(Data!$A$2:$A$500)</f>
        <v>0</v>
      </c>
      <c r="D26" s="1"/>
      <c r="E26" s="1"/>
      <c r="F26" s="1"/>
      <c r="G26" s="25"/>
    </row>
    <row r="27" spans="1:26">
      <c r="A27" s="109" t="s">
        <v>206</v>
      </c>
      <c r="B27" s="19">
        <f>COUNTIF(Data!BK$2:BK$500,"Важко сказати")</f>
        <v>3</v>
      </c>
      <c r="C27" s="110">
        <f>B27/COUNT(Data!$A$2:$A$500)</f>
        <v>0.1</v>
      </c>
      <c r="G27" s="25"/>
    </row>
    <row r="28" spans="1:26">
      <c r="A28" s="109" t="s">
        <v>294</v>
      </c>
      <c r="B28" s="19">
        <f>COUNTIF(Data!BK$2:BK$500,"КН")</f>
        <v>5</v>
      </c>
      <c r="C28" s="110">
        <f>B28/COUNT(Data!$A$2:$A$500)</f>
        <v>0.16666666666666666</v>
      </c>
      <c r="D28" s="1"/>
      <c r="E28" s="1"/>
      <c r="F28" s="1"/>
      <c r="G28" s="1"/>
    </row>
    <row r="29" spans="1:26" ht="12.75">
      <c r="A29" s="1"/>
      <c r="B29" s="1"/>
      <c r="C29" s="1"/>
      <c r="D29" s="1"/>
      <c r="E29" s="1"/>
      <c r="F29" s="1"/>
      <c r="G29" s="25"/>
    </row>
    <row r="30" spans="1:26" ht="12.75">
      <c r="A30" s="1"/>
      <c r="B30" s="1"/>
      <c r="C30" s="1"/>
      <c r="D30" s="1"/>
      <c r="E30" s="1"/>
      <c r="F30" s="1"/>
      <c r="G30" s="25"/>
    </row>
    <row r="31" spans="1:26">
      <c r="A31" s="156" t="s">
        <v>208</v>
      </c>
      <c r="B31" s="149"/>
      <c r="C31" s="149"/>
      <c r="D31" s="149"/>
      <c r="E31" s="149"/>
      <c r="F31" s="66"/>
      <c r="G31" s="25"/>
    </row>
    <row r="32" spans="1:26" ht="15">
      <c r="A32" s="13"/>
      <c r="B32" s="14" t="s">
        <v>4</v>
      </c>
      <c r="C32" s="15" t="s">
        <v>5</v>
      </c>
      <c r="D32" s="3"/>
      <c r="E32" s="1"/>
      <c r="F32" s="1"/>
      <c r="G32" s="25"/>
    </row>
    <row r="33" spans="1:26" ht="15">
      <c r="A33" s="17" t="s">
        <v>17</v>
      </c>
      <c r="B33" s="19">
        <f>COUNTIF(Data!BL$2:BL$500,"Так")</f>
        <v>16</v>
      </c>
      <c r="C33" s="20">
        <f>B33/COUNT(Data!$A$2:$A$500)</f>
        <v>0.53333333333333333</v>
      </c>
      <c r="D33" s="3"/>
      <c r="E33" s="1"/>
      <c r="F33" s="1"/>
      <c r="G33" s="25"/>
    </row>
    <row r="34" spans="1:26" ht="15">
      <c r="A34" s="17" t="s">
        <v>20</v>
      </c>
      <c r="B34" s="19">
        <f>COUNTIF(Data!BL$2:BL$500,"Ні")</f>
        <v>13</v>
      </c>
      <c r="C34" s="20">
        <f>B34/COUNT(Data!$A$2:$A$500)</f>
        <v>0.43333333333333335</v>
      </c>
      <c r="D34" s="3"/>
      <c r="E34" s="1"/>
      <c r="F34" s="1"/>
      <c r="G34" s="1"/>
    </row>
    <row r="35" spans="1:26" ht="15">
      <c r="A35" s="17" t="s">
        <v>294</v>
      </c>
      <c r="B35" s="19">
        <f>COUNTIF(Data!BL$2:BL$500,"КН")</f>
        <v>1</v>
      </c>
      <c r="C35" s="20">
        <f>B35/COUNT(Data!$A$2:$A$500)</f>
        <v>3.3333333333333333E-2</v>
      </c>
      <c r="D35" s="3"/>
      <c r="G35" s="25"/>
    </row>
    <row r="36" spans="1:26" ht="12.75">
      <c r="A36" s="1"/>
      <c r="B36" s="1"/>
      <c r="C36" s="25"/>
      <c r="E36" s="1"/>
      <c r="F36" s="1"/>
      <c r="G36" s="25"/>
    </row>
    <row r="37" spans="1:26" ht="12.75">
      <c r="B37" s="1"/>
      <c r="C37" s="25"/>
      <c r="E37" s="1"/>
      <c r="F37" s="1"/>
      <c r="G37" s="25"/>
    </row>
    <row r="38" spans="1:26" ht="13.5">
      <c r="A38" s="156" t="s">
        <v>209</v>
      </c>
      <c r="B38" s="149"/>
      <c r="C38" s="149"/>
      <c r="D38" s="149"/>
      <c r="E38" s="149"/>
      <c r="F38" s="1"/>
      <c r="G38" s="25"/>
    </row>
    <row r="39" spans="1:26" ht="15">
      <c r="A39" s="13"/>
      <c r="B39" s="14" t="s">
        <v>4</v>
      </c>
      <c r="C39" s="15" t="s">
        <v>5</v>
      </c>
      <c r="D39" s="3"/>
      <c r="E39" s="1"/>
      <c r="G39" s="25"/>
    </row>
    <row r="40" spans="1:26" ht="15">
      <c r="A40" s="17" t="s">
        <v>17</v>
      </c>
      <c r="B40" s="19">
        <f>COUNTIF(Data!$BM$2:$BM$500,"Так")</f>
        <v>3</v>
      </c>
      <c r="C40" s="20">
        <f>B40/COUNT(Data!$A$2:$A$500)</f>
        <v>0.1</v>
      </c>
      <c r="D40" s="3"/>
      <c r="E40" s="1"/>
      <c r="G40" s="25"/>
    </row>
    <row r="41" spans="1:26" ht="15">
      <c r="A41" s="17" t="s">
        <v>20</v>
      </c>
      <c r="B41" s="19">
        <f>COUNTIF(Data!$BM$2:$BM$500,"Ні")</f>
        <v>20</v>
      </c>
      <c r="C41" s="20">
        <f>B41/COUNT(Data!$A$2:$A$500)</f>
        <v>0.66666666666666663</v>
      </c>
      <c r="D41" s="3"/>
      <c r="E41" s="1"/>
      <c r="F41" s="1"/>
      <c r="G41" s="1"/>
    </row>
    <row r="42" spans="1:26" ht="15">
      <c r="A42" s="17" t="s">
        <v>294</v>
      </c>
      <c r="B42" s="19">
        <f>COUNTIF(Data!$BM$2:$BM$500,"КН")</f>
        <v>7</v>
      </c>
      <c r="C42" s="20">
        <f>B42/COUNT(Data!$A$2:$A$500)</f>
        <v>0.23333333333333334</v>
      </c>
      <c r="D42" s="3"/>
      <c r="F42" s="1"/>
      <c r="G42" s="25"/>
    </row>
    <row r="43" spans="1:26" ht="12.75">
      <c r="A43" s="1"/>
      <c r="B43" s="1"/>
      <c r="C43" s="1"/>
      <c r="D43" s="1"/>
      <c r="E43" s="1"/>
      <c r="F43" s="1"/>
      <c r="G43" s="25"/>
    </row>
    <row r="44" spans="1:26" ht="12.75">
      <c r="A44" s="1"/>
      <c r="B44" s="1"/>
      <c r="C44" s="1"/>
      <c r="D44" s="1"/>
      <c r="E44" s="1"/>
      <c r="F44" s="1"/>
      <c r="G44" s="25"/>
    </row>
    <row r="45" spans="1:26" ht="15">
      <c r="A45" s="3"/>
      <c r="B45" s="3"/>
      <c r="C45" s="3"/>
      <c r="D45" s="3"/>
      <c r="E45" s="1"/>
      <c r="F45" s="1"/>
      <c r="G45" s="25"/>
      <c r="H45" s="3"/>
      <c r="I45" s="3"/>
      <c r="J45" s="3"/>
      <c r="K45" s="3"/>
      <c r="L45" s="3"/>
      <c r="M45" s="3"/>
      <c r="N45" s="3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>
      <c r="A46" s="158" t="s">
        <v>311</v>
      </c>
      <c r="B46" s="134"/>
      <c r="C46" s="134"/>
      <c r="D46" s="134"/>
      <c r="E46" s="135"/>
      <c r="F46" s="36" t="s">
        <v>4</v>
      </c>
      <c r="G46" s="37" t="s">
        <v>5</v>
      </c>
      <c r="H46" s="3"/>
      <c r="I46" s="3"/>
      <c r="J46" s="3"/>
      <c r="K46" s="3"/>
      <c r="L46" s="3"/>
      <c r="M46" s="3"/>
      <c r="N46" s="3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">
      <c r="A47" s="174">
        <v>5</v>
      </c>
      <c r="B47" s="134"/>
      <c r="C47" s="134"/>
      <c r="D47" s="134"/>
      <c r="E47" s="135"/>
      <c r="F47" s="19">
        <f>COUNTIF(Data!BN$2:BN$500,5)</f>
        <v>2</v>
      </c>
      <c r="G47" s="20">
        <f>F47/COUNT(Data!$A$2:$A$500)</f>
        <v>6.6666666666666666E-2</v>
      </c>
      <c r="H47" s="1"/>
      <c r="I47" s="3"/>
      <c r="J47" s="3"/>
      <c r="K47" s="3"/>
      <c r="L47" s="3"/>
      <c r="M47" s="3"/>
      <c r="N47" s="3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">
      <c r="A48" s="174">
        <v>4</v>
      </c>
      <c r="B48" s="134"/>
      <c r="C48" s="134"/>
      <c r="D48" s="134"/>
      <c r="E48" s="135"/>
      <c r="F48" s="19">
        <f>COUNTIF(Data!BN$2:BN$500,4)</f>
        <v>1</v>
      </c>
      <c r="G48" s="20">
        <f>F48/COUNT(Data!$A$2:$A$500)</f>
        <v>3.3333333333333333E-2</v>
      </c>
      <c r="H48" s="3"/>
      <c r="I48" s="3"/>
      <c r="J48" s="3"/>
      <c r="K48" s="3"/>
      <c r="L48" s="3"/>
      <c r="M48" s="3"/>
      <c r="N48" s="3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">
      <c r="A49" s="174">
        <v>3</v>
      </c>
      <c r="B49" s="134"/>
      <c r="C49" s="134"/>
      <c r="D49" s="134"/>
      <c r="E49" s="135"/>
      <c r="F49" s="19">
        <f>COUNTIF(Data!BN$2:BN$500,3)</f>
        <v>0</v>
      </c>
      <c r="G49" s="20">
        <f>F49/COUNT(Data!$A$2:$A$500)</f>
        <v>0</v>
      </c>
      <c r="H49" s="3"/>
      <c r="I49" s="3"/>
      <c r="J49" s="3"/>
      <c r="K49" s="3"/>
      <c r="L49" s="3"/>
      <c r="M49" s="3"/>
      <c r="N49" s="3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">
      <c r="A50" s="174">
        <v>2</v>
      </c>
      <c r="B50" s="134"/>
      <c r="C50" s="134"/>
      <c r="D50" s="134"/>
      <c r="E50" s="135"/>
      <c r="F50" s="19">
        <f>COUNTIF(Data!BN$2:BN$500,2)</f>
        <v>0</v>
      </c>
      <c r="G50" s="20">
        <f>F50/COUNT(Data!$A$2:$A$500)</f>
        <v>0</v>
      </c>
      <c r="H50" s="3"/>
      <c r="I50" s="3"/>
      <c r="J50" s="3"/>
      <c r="K50" s="3"/>
      <c r="L50" s="3"/>
      <c r="M50" s="3"/>
      <c r="N50" s="3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">
      <c r="A51" s="174">
        <v>1</v>
      </c>
      <c r="B51" s="134"/>
      <c r="C51" s="134"/>
      <c r="D51" s="134"/>
      <c r="E51" s="135"/>
      <c r="F51" s="19">
        <f>COUNTIF(Data!BN$2:BN$500,1)</f>
        <v>0</v>
      </c>
      <c r="G51" s="20">
        <f>F51/COUNT(Data!$A$2:$A$500)</f>
        <v>0</v>
      </c>
      <c r="H51" s="3"/>
      <c r="I51" s="3"/>
      <c r="J51" s="3"/>
      <c r="K51" s="3"/>
      <c r="L51" s="3"/>
      <c r="M51" s="3"/>
      <c r="N51" s="3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">
      <c r="A52" s="174">
        <v>9</v>
      </c>
      <c r="B52" s="134"/>
      <c r="C52" s="134"/>
      <c r="D52" s="134"/>
      <c r="E52" s="135"/>
      <c r="F52" s="19">
        <f>COUNTIF(Data!BN$2:BN$500,9)</f>
        <v>0</v>
      </c>
      <c r="G52" s="20">
        <f>F52/COUNT(Data!$A$2:$A$500)</f>
        <v>0</v>
      </c>
      <c r="H52" s="3"/>
      <c r="I52" s="3"/>
      <c r="J52" s="3"/>
      <c r="K52" s="3"/>
      <c r="L52" s="3"/>
      <c r="M52" s="3"/>
      <c r="N52" s="3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8.75">
      <c r="A53" s="169" t="s">
        <v>69</v>
      </c>
      <c r="B53" s="134"/>
      <c r="C53" s="134"/>
      <c r="D53" s="134"/>
      <c r="E53" s="135"/>
      <c r="F53" s="57">
        <f>((F47*5)+(F48*4)+(F49*3)+(F50*2)+(F51*1))/SUM(F47:F51)</f>
        <v>4.666666666666667</v>
      </c>
      <c r="G53" s="37"/>
      <c r="H53" s="3"/>
      <c r="I53" s="3"/>
      <c r="J53" s="3"/>
      <c r="K53" s="3"/>
      <c r="L53" s="3"/>
      <c r="M53" s="3"/>
      <c r="N53" s="3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">
      <c r="A54" s="168" t="s">
        <v>71</v>
      </c>
      <c r="B54" s="134"/>
      <c r="C54" s="134"/>
      <c r="D54" s="134"/>
      <c r="E54" s="135"/>
      <c r="F54" s="58" t="e">
        <f>((COUNTIFS(Data!B$2:B$500,"18–25 років",Data!BN$2:BN$500,5)*5)+(COUNTIFS(Data!B$2:B$500,"18–25 років",Data!BN$2:BN$500,4)*4)+(COUNTIFS(Data!B$2:B$500,"18–25 років",Data!BN$2:BN$500,3)*3)+(COUNTIFS(Data!B$2:B$500,"18–25 років",Data!BN$2:BN$500,2)*2)+(COUNTIFS(Data!B$2:B$500,"18–25 років",Data!BN$2:BN$500,1)*1))/(COUNTIFS(Data!B$2:B$500,"18–25 років",Data!BN$2:BN$500,5)+(COUNTIFS(Data!B$2:B$500,"18–25 років",Data!BN$2:BN$500,4)+(COUNTIFS(Data!B$2:B$500,"18–25 років",Data!BN$2:BN$500,3)+(COUNTIFS(Data!B$2:B$500,"18–25 років",Data!BN$2:BN$500,2)+(COUNTIFS(Data!B$2:B$500,"18–25 років",Data!BN$2:BN$500,1))))))</f>
        <v>#DIV/0!</v>
      </c>
      <c r="G54" s="28"/>
      <c r="H54" s="3"/>
      <c r="I54" s="3"/>
      <c r="J54" s="3"/>
      <c r="K54" s="3"/>
      <c r="L54" s="3"/>
      <c r="M54" s="3"/>
      <c r="N54" s="3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">
      <c r="A55" s="168" t="s">
        <v>73</v>
      </c>
      <c r="B55" s="134"/>
      <c r="C55" s="134"/>
      <c r="D55" s="134"/>
      <c r="E55" s="135"/>
      <c r="F55" s="58">
        <f>((COUNTIFS(Data!B$2:B$500,"26–39 років",Data!BN$2:BN$500,5)*5)+(COUNTIFS(Data!B$2:B$500,"26–39 років",Data!BN$2:BN$500,4)*4)+(COUNTIFS(Data!B$2:B$500,"26–39 років",Data!BN$2:BN$500,3)*3)+(COUNTIFS(Data!B$2:B$500,"26–39 років",Data!BN$2:BN$500,2)*2)+(COUNTIFS(Data!B$2:B$500,"26–39 років",Data!BN$2:BN$500,1)*1))/(COUNTIFS(Data!B$2:B$500,"26–39 років",Data!BN$2:BN$500,5)+(COUNTIFS(Data!B$2:B$500,"26–39 років",Data!BN$2:BN$500,4)+(COUNTIFS(Data!B$2:B$500,"26–39 років",Data!BN$2:BN$500,3)+(COUNTIFS(Data!B$2:B$500,"26–39 років",Data!BN$2:BN$500,2)+(COUNTIFS(Data!B$2:B$500,"26–39 років",Data!BN$2:BN$500,1))))))</f>
        <v>5</v>
      </c>
      <c r="G55" s="28"/>
      <c r="H55" s="3"/>
      <c r="I55" s="3"/>
      <c r="J55" s="3"/>
      <c r="K55" s="3"/>
      <c r="L55" s="3"/>
      <c r="M55" s="3"/>
      <c r="N55" s="3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">
      <c r="A56" s="168" t="s">
        <v>75</v>
      </c>
      <c r="B56" s="134"/>
      <c r="C56" s="134"/>
      <c r="D56" s="134"/>
      <c r="E56" s="135"/>
      <c r="F56" s="58">
        <f>((COUNTIFS(Data!B$2:B$500,"40–59 років",Data!BN$2:BN$500,5)*5)+(COUNTIFS(Data!B$2:B$500,"40–59 років",Data!BN$2:BN$500,4)*4)+(COUNTIFS(Data!B$2:B$500,"40–59 років",Data!BN$2:BN$500,3)*3)+(COUNTIFS(Data!B$2:B$500,"40–59 років",Data!BN$2:BN$500,2)*2)+(COUNTIFS(Data!B$2:B$500,"40–59 років",Data!BN$2:BN$500,1)*1))/(COUNTIFS(Data!B$2:B$500,"40–59 років",Data!BN$2:BN$500,5)+(COUNTIFS(Data!B$2:B$500,"40–59 років",Data!BN$2:BN$500,4)+(COUNTIFS(Data!B$2:B$500,"40–59 років",Data!BN$2:BN$500,3)+(COUNTIFS(Data!B$2:B$500,"40–59 років",Data!BN$2:BN$500,2)+(COUNTIFS(Data!B$2:B$500,"40–59 років",Data!BN$2:BN$500,1))))))</f>
        <v>4</v>
      </c>
      <c r="G56" s="28"/>
      <c r="H56" s="3"/>
      <c r="I56" s="3"/>
      <c r="J56" s="3"/>
      <c r="K56" s="3"/>
      <c r="L56" s="3"/>
      <c r="M56" s="3"/>
      <c r="N56" s="3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">
      <c r="A57" s="168" t="s">
        <v>77</v>
      </c>
      <c r="B57" s="134"/>
      <c r="C57" s="134"/>
      <c r="D57" s="134"/>
      <c r="E57" s="135"/>
      <c r="F57" s="58">
        <f>((COUNTIFS(Data!B$2:B$500,"60 років і старше",Data!BN$2:BN$500,5)*5)+(COUNTIFS(Data!B$2:B$500,"60 років і старше",Data!BN$2:BN$500,4)*4)+(COUNTIFS(Data!B$2:B$500,"60 років і старше",Data!BN$2:BN$500,3)*3)+(COUNTIFS(Data!B$2:B$500,"60 років і старше",Data!BN$2:BN$500,2)*2)+(COUNTIFS(Data!B$2:B$500,"60 років і старше",Data!BN$2:BN$500,1)*1))/(COUNTIFS(Data!B$2:B$500,"60 років і старше",Data!BN$2:BN$500,5)+(COUNTIFS(Data!B$2:B$500,"60 років і старше",Data!BN$2:BN$500,4)+(COUNTIFS(Data!B$2:B$500,"60 років і старше",Data!BN$2:BN$500,3)+(COUNTIFS(Data!B$2:B$500,"60 років і старше",Data!BN$2:BN$500,2)+(COUNTIFS(Data!B$2:B$500,"60 років і старше",Data!BN$2:BN$500,1))))))</f>
        <v>5</v>
      </c>
      <c r="G57" s="28"/>
      <c r="H57" s="3"/>
      <c r="I57" s="3"/>
      <c r="J57" s="3"/>
      <c r="K57" s="3"/>
      <c r="L57" s="3"/>
      <c r="M57" s="3"/>
      <c r="N57" s="3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">
      <c r="A58" s="165" t="s">
        <v>79</v>
      </c>
      <c r="B58" s="134"/>
      <c r="C58" s="134"/>
      <c r="D58" s="134"/>
      <c r="E58" s="135"/>
      <c r="F58" s="59">
        <f>((COUNTIFS(Data!C$2:C$500,"жіноча",Data!BN$2:BN$500,5)*5)+(COUNTIFS(Data!C$2:C$500,"жіноча",Data!BN$2:BN$500,4)*4)+(COUNTIFS(Data!C$2:C$500,"жіноча",Data!BN$2:BN$500,3)*3)+(COUNTIFS(Data!C$2:C$500,"жіноча",Data!BN$2:BN$500,2)*2)+(COUNTIFS(Data!C$2:C$500,"жіноча",Data!BN$2:BN$500,1)*1))/(COUNTIFS(Data!C$2:C$500,"жіноча",Data!BN$2:BN$500,5)+(COUNTIFS(Data!C$2:C$500,"жіноча",Data!BN$2:BN$500,4)+(COUNTIFS(Data!C$2:C$500,"жіноча",Data!BN$2:BN$500,3)+(COUNTIFS(Data!C$2:C$500,"жіноча",Data!BN$2:BN$500,2)+(COUNTIFS(Data!C$2:C$500,"жіноча",Data!BN$2:BN$500,1))))))</f>
        <v>4</v>
      </c>
      <c r="G58" s="28"/>
      <c r="H58" s="3"/>
      <c r="I58" s="3"/>
      <c r="J58" s="3"/>
      <c r="K58" s="3"/>
      <c r="L58" s="3"/>
      <c r="M58" s="3"/>
      <c r="N58" s="3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">
      <c r="A59" s="165" t="s">
        <v>81</v>
      </c>
      <c r="B59" s="134"/>
      <c r="C59" s="134"/>
      <c r="D59" s="134"/>
      <c r="E59" s="135"/>
      <c r="F59" s="59">
        <f>((COUNTIFS(Data!C$2:C$500,"чоловіча",Data!BN$2:BN$500,5)*5)+(COUNTIFS(Data!C$2:C$500,"чоловіча",Data!BN$2:BN$500,4)*4)+(COUNTIFS(Data!C$2:C$500,"чоловіча",Data!BN$2:BN$500,3)*3)+(COUNTIFS(Data!C$2:C$500,"чоловіча",Data!BN$2:BN$500,2)*2)+(COUNTIFS(Data!C$2:C$500,"чоловіча",Data!BN$2:BN$500,1)*1))/(COUNTIFS(Data!C$2:C$500,"чоловіча",Data!BN$2:BN$500,5)+(COUNTIFS(Data!C$2:C$500,"чоловіча",Data!BN$2:BN$500,4)+(COUNTIFS(Data!C$2:C$500,"чоловіча",Data!BN$2:BN$500,3)+(COUNTIFS(Data!C$2:C$500,"чоловіча",Data!BN$2:BN$500,2)+(COUNTIFS(Data!C$2:C$500,"чоловіча",Data!BN$2:BN$500,1))))))</f>
        <v>5</v>
      </c>
      <c r="G59" s="28"/>
      <c r="H59" s="3"/>
      <c r="I59" s="3"/>
      <c r="J59" s="3"/>
      <c r="K59" s="3"/>
      <c r="L59" s="3"/>
      <c r="M59" s="3"/>
      <c r="N59" s="3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">
      <c r="A60" s="166" t="s">
        <v>83</v>
      </c>
      <c r="B60" s="134"/>
      <c r="C60" s="134"/>
      <c r="D60" s="134"/>
      <c r="E60" s="135"/>
      <c r="F60" s="60" t="e">
        <f>((COUNTIFS(Data!D$2:D$500,"Середня та неповна середня",Data!BN$2:BN$500,5)*5)+(COUNTIFS(Data!D$2:D$500,"Середня та неповна середня",Data!BN$2:BN$500,4)*4)+(COUNTIFS(Data!D$2:D$500,"Середня та неповна середня",Data!BN$2:BN$500,3)*3)+(COUNTIFS(Data!D$2:D$500,"Середня та неповна середня",Data!BN$2:BN$500,2)*2)+(COUNTIFS(Data!D$2:D$500,"Середня та неповна середня",Data!BN$2:BN$500,1)*1))/(COUNTIFS(Data!D$2:D$500,"Середня та неповна середня",Data!BN$2:BN$500,5)+(COUNTIFS(Data!D$2:D$500,"Середня та неповна середня",Data!BN$2:BN$500,4)+(COUNTIFS(Data!D$2:D$500,"Середня та неповна середня",Data!BN$2:BN$500,3)+(COUNTIFS(Data!D$2:D$500,"Середня та неповна середня",Data!BN$2:BN$500,2)+(COUNTIFS(Data!D$2:D$500,"Середня та неповна середня",Data!BN$2:BN$500,1))))))</f>
        <v>#DIV/0!</v>
      </c>
      <c r="G60" s="28"/>
      <c r="H60" s="3"/>
      <c r="I60" s="3"/>
      <c r="J60" s="3"/>
      <c r="K60" s="3"/>
      <c r="L60" s="3"/>
      <c r="M60" s="3"/>
      <c r="N60" s="3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">
      <c r="A61" s="166" t="s">
        <v>85</v>
      </c>
      <c r="B61" s="134"/>
      <c r="C61" s="134"/>
      <c r="D61" s="134"/>
      <c r="E61" s="135"/>
      <c r="F61" s="60">
        <f>((COUNTIFS(Data!D$2:D$500,"Вища та неповна вища",Data!BN$2:BN$500,5)*5)+(COUNTIFS(Data!D$2:D$500,"Вища та неповна вища",Data!BN$2:BN$500,4)*4)+(COUNTIFS(Data!D$2:D$500,"Вища та неповна вища",Data!BN$2:BN$500,3)*3)+(COUNTIFS(Data!D$2:D$500,"Вища та неповна вища",Data!BN$2:BN$500,2)*2)+(COUNTIFS(Data!D$2:D$500,"Вища та неповна вища",Data!BN$2:BN$500,1)*1))/(COUNTIFS(Data!D$2:D$500,"Вища та неповна вища",Data!BN$2:BN$500,5)+(COUNTIFS(Data!D$2:D$500,"Вища та неповна вища",Data!BN$2:BN$500,4)+(COUNTIFS(Data!D$2:D$500,"Вища та неповна вища",Data!BN$2:BN$500,3)+(COUNTIFS(Data!D$2:D$500,"Вища та неповна вища",Data!BN$2:BN$500,2)+(COUNTIFS(Data!D$2:D$500,"Вища та неповна вища",Data!BN$2:BN$500,1))))))</f>
        <v>4.666666666666667</v>
      </c>
      <c r="G61" s="28"/>
      <c r="H61" s="3"/>
      <c r="I61" s="3"/>
      <c r="J61" s="3"/>
      <c r="K61" s="3"/>
      <c r="L61" s="3"/>
      <c r="M61" s="3"/>
      <c r="N61" s="3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">
      <c r="A62" s="166" t="s">
        <v>87</v>
      </c>
      <c r="B62" s="134"/>
      <c r="C62" s="134"/>
      <c r="D62" s="134"/>
      <c r="E62" s="135"/>
      <c r="F62" s="60" t="e">
        <f>((COUNTIFS(Data!D$2:D$500,"Інше (вкажіть)",Data!BN$2:BN$500,5)*5)+(COUNTIFS(Data!D$2:D$500,"Інше (вкажіть)",Data!BN$2:BN$500,4)*4)+(COUNTIFS(Data!D$2:D$500,"Інше (вкажіть)",Data!BN$2:BN$500,3)*3)+(COUNTIFS(Data!D$2:D$500,"Інше (вкажіть)",Data!BN$2:BN$500,2)*2)+(COUNTIFS(Data!D$2:D$500,"Інше (вкажіть)",Data!BN$2:BN$500,1)*1))/(COUNTIFS(Data!D$2:D$500,"Інше (вкажіть)",Data!BN$2:BN$500,5)+(COUNTIFS(Data!D$2:D$500,"Інше (вкажіть)",Data!BN$2:BN$500,4)+(COUNTIFS(Data!D$2:D$500,"Інше (вкажіть)",Data!BN$2:BN$500,3)+(COUNTIFS(Data!D$2:D$500,"Інше (вкажіть)",Data!BN$2:BN$500,2)+(COUNTIFS(Data!D$2:D$500,"Інше (вкажіть)",Data!BN$2:BN$500,1))))))</f>
        <v>#DIV/0!</v>
      </c>
      <c r="G62" s="28"/>
      <c r="H62" s="3"/>
      <c r="I62" s="3"/>
      <c r="J62" s="3"/>
      <c r="K62" s="3"/>
      <c r="L62" s="3"/>
      <c r="M62" s="3"/>
      <c r="N62" s="3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">
      <c r="A63" s="166" t="s">
        <v>87</v>
      </c>
      <c r="B63" s="134"/>
      <c r="C63" s="134"/>
      <c r="D63" s="134"/>
      <c r="E63" s="135"/>
      <c r="F63" s="60" t="e">
        <f>((COUNTIFS(Data!D$2:D$500,"Інше (вкажіть)",Data!BN$2:BN$500,5)*5)+(COUNTIFS(Data!D$2:D$500,"Інше (вкажіть)",Data!BN$2:BN$500,4)*4)+(COUNTIFS(Data!D$2:D$500,"Інше (вкажіть)",Data!BN$2:BN$500,3)*3)+(COUNTIFS(Data!D$2:D$500,"Інше (вкажіть)",Data!BN$2:BN$500,2)*2)+(COUNTIFS(Data!D$2:D$500,"Інше (вкажіть)",Data!BN$2:BN$500,1)*1))/(COUNTIFS(Data!D$2:D$500,"Інше (вкажіть)",Data!BN$2:BN$500,5)+(COUNTIFS(Data!D$2:D$500,"Інше (вкажіть)",Data!BN$2:BN$500,4)+(COUNTIFS(Data!D$2:D$500,"Інше (вкажіть)",Data!BN$2:BN$500,3)+(COUNTIFS(Data!D$2:D$500,"Інше (вкажіть)",Data!BN$2:BN$500,2)+(COUNTIFS(Data!D$2:D$500,"Інше (вкажіть)",Data!BN$2:BN$500,1))))))</f>
        <v>#DIV/0!</v>
      </c>
      <c r="G63" s="28"/>
      <c r="H63" s="3"/>
      <c r="I63" s="3"/>
      <c r="J63" s="3"/>
      <c r="K63" s="3"/>
      <c r="L63" s="3"/>
      <c r="M63" s="3"/>
      <c r="N63" s="3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">
      <c r="A64" s="164" t="s">
        <v>89</v>
      </c>
      <c r="B64" s="134"/>
      <c r="C64" s="134"/>
      <c r="D64" s="134"/>
      <c r="E64" s="135"/>
      <c r="F64" s="61">
        <f>((COUNTIFS(Data!E$2:E$500,"Так",Data!BN$2:BN$500,5)*5)+(COUNTIFS(Data!E$2:E$500,"Так",Data!BN$2:BN$500,4)*4)+(COUNTIFS(Data!E$2:E$500,"Так",Data!BN$2:BN$500,3)*3)+(COUNTIFS(Data!E$2:E$500,"Так",Data!BN$2:BN$500,2)*2)+(COUNTIFS(Data!E$2:E$500,"Так",Data!BN$2:BN$500,1)*1))/(COUNTIFS(Data!E$2:E$500,"Так",Data!BN$2:BN$500,5)+(COUNTIFS(Data!E$2:E$500,"Так",Data!BN$2:BN$500,4)+(COUNTIFS(Data!E$2:E$500,"Так",Data!BN$2:BN$500,3)+(COUNTIFS(Data!E$2:E$500,"Так",Data!BN$2:BN$500,2)+(COUNTIFS(Data!E$2:E$500,"Так",Data!BN$2:BN$500,1))))))</f>
        <v>4.5</v>
      </c>
      <c r="G64" s="28"/>
      <c r="H64" s="3"/>
      <c r="I64" s="3"/>
      <c r="J64" s="3"/>
      <c r="K64" s="3"/>
      <c r="L64" s="3"/>
      <c r="M64" s="3"/>
      <c r="N64" s="3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">
      <c r="A65" s="164" t="s">
        <v>91</v>
      </c>
      <c r="B65" s="134"/>
      <c r="C65" s="134"/>
      <c r="D65" s="134"/>
      <c r="E65" s="135"/>
      <c r="F65" s="61">
        <f>((COUNTIFS(Data!E$2:E$500,"Ні",Data!BN$2:BN$500,5)*5)+(COUNTIFS(Data!E$2:E$500,"Ні",Data!BN$2:BN$500,4)*4)+(COUNTIFS(Data!E$2:E$500,"Ні",Data!BN$2:BN$500,3)*3)+(COUNTIFS(Data!E$2:E$500,"Ні",Data!BN$2:BN$500,2)*2)+(COUNTIFS(Data!E$2:E$500,"Ні",Data!BN$2:BN$500,1)*1))/(COUNTIFS(Data!E$2:E$500,"Ні",Data!BN$2:BN$500,5)+(COUNTIFS(Data!E$2:E$500,"Ні",Data!BN$2:BN$500,4)+(COUNTIFS(Data!E$2:E$500,"Ні",Data!BN$2:BN$500,3)+(COUNTIFS(Data!E$2:E$500,"Ні",Data!BN$2:BN$500,2)+(COUNTIFS(Data!E$2:E$500,"Ні",Data!BN$2:BN$500,1))))))</f>
        <v>5</v>
      </c>
      <c r="G65" s="28"/>
      <c r="H65" s="3"/>
      <c r="I65" s="3"/>
      <c r="J65" s="3"/>
      <c r="K65" s="3"/>
      <c r="L65" s="3"/>
      <c r="M65" s="3"/>
      <c r="N65" s="3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">
      <c r="A66" s="175" t="s">
        <v>92</v>
      </c>
      <c r="B66" s="134"/>
      <c r="C66" s="134"/>
      <c r="D66" s="134"/>
      <c r="E66" s="135"/>
      <c r="F66" s="62">
        <f>((COUNTIFS(Data!F$2:F$500,"В населеному пункті, де розташований цей суд",Data!BN$2:BN$500,5)*5)+(COUNTIFS(Data!F$2:F$500,"В населеному пункті, де розташований цей суд",Data!BN$2:BN$500,4)*4)+(COUNTIFS(Data!F$2:F$500,"В населеному пункті, де розташований цей суд",Data!BN$2:BN$500,3)*3)+(COUNTIFS(Data!F$2:F$500,"В населеному пункті, де розташований цей суд",Data!BN$2:BN$500,2)*2)+(COUNTIFS(Data!F$2:F$500,"В населеному пункті, де розташований цей суд",Data!BN$2:BN$500,1)*1))/(COUNTIFS(Data!F$2:F$500,"В населеному пункті, де розташований цей суд",Data!BN$2:BN$500,5)+(COUNTIFS(Data!F$2:F$500,"В населеному пункті, де розташований цей суд",Data!BN$2:BN$500,4)+(COUNTIFS(Data!F$2:F$500,"В населеному пункті, де розташований цей суд",Data!BN$2:BN$500,3)+(COUNTIFS(Data!F$2:F$500,"В населеному пункті, де розташований цей суд",Data!BN$2:BN$500,2)+(COUNTIFS(Data!F$2:F$500,"В населеному пункті, де розташований цей суд",Data!BN$2:BN$500,1))))))</f>
        <v>4.5</v>
      </c>
      <c r="G66" s="28"/>
      <c r="H66" s="3"/>
      <c r="I66" s="3"/>
      <c r="J66" s="3"/>
      <c r="K66" s="3"/>
      <c r="L66" s="3"/>
      <c r="M66" s="3"/>
      <c r="N66" s="3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">
      <c r="A67" s="175" t="s">
        <v>94</v>
      </c>
      <c r="B67" s="134"/>
      <c r="C67" s="134"/>
      <c r="D67" s="134"/>
      <c r="E67" s="135"/>
      <c r="F67" s="62">
        <f>((COUNTIFS(Data!F$2:F$500,"В іншому населеному пункті",Data!BN$2:BN$500,5)*5)+(COUNTIFS(Data!F$2:F$500,"В іншому населеному пункті",Data!BN$2:BN$500,4)*4)+(COUNTIFS(Data!F$2:F$500,"В іншому населеному пункті",Data!BN$2:BN$500,3)*3)+(COUNTIFS(Data!F$2:F$500,"В іншому населеному пункті",Data!BN$2:BN$500,2)*2)+(COUNTIFS(Data!F$2:F$500,"В іншому населеному пункті",Data!BN$2:BN$500,1)*1))/(COUNTIFS(Data!F$2:F$500,"В іншому населеному пункті",Data!BN$2:BN$500,5)+(COUNTIFS(Data!F$2:F$500,"В іншому населеному пункті",Data!BN$2:BN$500,4)+(COUNTIFS(Data!F$2:F$500,"В іншому населеному пункті",Data!BN$2:BN$500,3)+(COUNTIFS(Data!F$2:F$500,"В іншому населеному пункті",Data!BN$2:BN$500,2)+(COUNTIFS(Data!F$2:F$500,"В іншому населеному пункті",Data!BN$2:BN$500,1))))))</f>
        <v>5</v>
      </c>
      <c r="G67" s="28"/>
      <c r="H67" s="3"/>
      <c r="I67" s="3"/>
      <c r="J67" s="3"/>
      <c r="K67" s="3"/>
      <c r="L67" s="3"/>
      <c r="M67" s="3"/>
      <c r="N67" s="3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">
      <c r="A68" s="173" t="s">
        <v>96</v>
      </c>
      <c r="B68" s="134"/>
      <c r="C68" s="134"/>
      <c r="D68" s="134"/>
      <c r="E68" s="135"/>
      <c r="F68" s="63" t="e">
        <f>((COUNTIFS(Data!G$2:G$500,"Змушені економити на харчуванні",Data!BN$2:BN$500,5)*5)+(COUNTIFS(Data!G$2:G$500,"Змушені економити на харчуванні",Data!BN$2:BN$500,4)*4)+(COUNTIFS(Data!G$2:G$500,"Змушені економити на харчуванні",Data!BN$2:BN$500,3)*3)+(COUNTIFS(Data!G$2:G$500,"Змушені економити на харчуванні",Data!BN$2:BN$500,2)*2)+(COUNTIFS(Data!G$2:G$500,"Змушені економити на харчуванні",Data!BN$2:BN$500,1)*1))/(COUNTIFS(Data!G$2:G$500,"Змушені економити на харчуванні",Data!BN$2:BN$500,5)+(COUNTIFS(Data!G$2:G$500,"Змушені економити на харчуванні",Data!BN$2:BN$500,4)+(COUNTIFS(Data!G$2:G$500,"Змушені економити на харчуванні",Data!BN$2:BN$500,3)+(COUNTIFS(Data!G$2:G$500,"Змушені економити на харчуванні",Data!BN$2:BN$500,2)+(COUNTIFS(Data!G$2:G$500,"Змушені економити на харчуванні",Data!BN$2:BN$500,1))))))</f>
        <v>#DIV/0!</v>
      </c>
      <c r="G68" s="28"/>
      <c r="H68" s="3"/>
      <c r="I68" s="3"/>
      <c r="J68" s="3"/>
      <c r="K68" s="3"/>
      <c r="L68" s="3"/>
      <c r="M68" s="3"/>
      <c r="N68" s="3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">
      <c r="A69" s="173" t="s">
        <v>98</v>
      </c>
      <c r="B69" s="134"/>
      <c r="C69" s="134"/>
      <c r="D69" s="134"/>
      <c r="E69" s="135"/>
      <c r="F69" s="63" t="e">
        <f>((COUNTIFS(Data!G$2:G$500,"Вистачає на харчування та необхідний одяг, взуття. Для таких покупок як гарний  костюм, мобільний телефон, пилосос необхідно заощадити або позичити",Data!BN$2:BN$500,5)*5)+(COUNTIFS(Data!G$2:G$500,"Вистачає на харчування та необхідний одяг, взуття. Для таких покупок як гарний  костюм, мобільний телефон, пилосос необхідно заощадити або позичити",Data!BN$2:BN$500,4)*4)+(COUNTIFS(Data!G$2:G$500,"Вистачає на харчування та необхідний одяг, взуття. Для таких покупок як гарний  костюм, мобільний телефон, пилосос необхідно заощадити або позичити",Data!BN$2:BN$500,3)*3)+(COUNTIFS(Data!G$2:G$500,"Вистачає на харчування та необхідний одяг, взуття. Для таких покупок як гарний  костюм, мобільний телефон, пилосос необхідно заощадити або позичити",Data!BN$2:BN$500,2)*2)+(COUNTIFS(Data!G$2:G$500,"Вистачає на харчування та необхідний одяг, взуття. Для таких покупок як гарний  костюм, мобільний телефон, пилосос необхідно заощадити або позичити",Data!BN$2:BN$500,1)*1))/(COUNTIFS(Data!G$2:G$500,"Вистачає на харчування та необхідний одяг, взуття. Для таких покупок як гарний  костюм, мобільний телефон, пилосос необхідно заощадити або позичити",Data!BN$2:BN$500,5)+(COUNTIFS(Data!G$2:G$500,"Вистачає на харчування та необхідний одяг, взуття. Для таких покупок як гарний  костюм, мобільний телефон, пилосос необхідно заощадити або позичити",Data!BN$2:BN$500,4)+(COUNTIFS(Data!G$2:G$500,"Вистачає на харчування та необхідний одяг, взуття. Для таких покупок як гарний  костюм, мобільний телефон, пилосос необхідно заощадити або позичити",Data!BN$2:BN$500,3)+(COUNTIFS(Data!G$2:G$500,"Вистачає на харчування та необхідний одяг, взуття. Для таких покупок як гарний  костюм, мобільний телефон, пилосос необхідно заощадити або позичити",Data!BN$2:BN$500,2)+(COUNTIFS(Data!G$2:G$500,"Вистачає на харчування та необхідний одяг, взуття. Для таких покупок як гарний  костюм, мобільний телефон, пилосос необхідно заощадити або позичити",Data!BN$2:BN$500,1))))))</f>
        <v>#DIV/0!</v>
      </c>
      <c r="G69" s="28"/>
      <c r="H69" s="3"/>
      <c r="I69" s="3"/>
      <c r="J69" s="3"/>
      <c r="K69" s="3"/>
      <c r="L69" s="3"/>
      <c r="M69" s="3"/>
      <c r="N69" s="3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">
      <c r="A70" s="173" t="s">
        <v>101</v>
      </c>
      <c r="B70" s="134"/>
      <c r="C70" s="134"/>
      <c r="D70" s="134"/>
      <c r="E70" s="135"/>
      <c r="F70" s="63">
        <f>((COUNTIFS(Data!G$2:G$500,"Вистачає на харчування, одяг, взуття, інші покупки. Але для придбання речей, які дорого коштують (таких як сучасний телевізор, холодильник, меблі) необхідно заощадити або позичити",Data!BN$2:BN$500,5)*5)+(COUNTIFS(Data!G$2:G$500,"Вистачає на харчування, одяг, взуття, інші покупки. Але для придбання речей, які дорого коштують (таких як сучасний телевізор, холодильник, меблі) необхідно заощадити або позичити",Data!BN$2:BN$500,4)*4)+(COUNTIFS(Data!G$2:G$500,"Вистачає на харчування, одяг, взуття, інші покупки. Але для придбання речей, які дорого коштують (таких як сучасний телевізор, холодильник, меблі) необхідно заощадити або позичити",Data!BN$2:BN$500,3)*3)+(COUNTIFS(Data!G$2:G$500,"Вистачає на харчування, одяг, взуття, інші покупки. Але для придбання речей, які дорого коштують (таких як сучасний телевізор, холодильник, меблі) необхідно заощадити або позичити",Data!BN$2:BN$500,2)*2)+(COUNTIFS(Data!G$2:G$500,"Вистачає на харчування, одяг, взуття, інші покупки. Але для придбання речей, які дорого коштують (таких як сучасний телевізор, холодильник, меблі) необхідно заощадити або позичити",Data!BN$2:BN$500,1)*1))/(COUNTIFS(Data!G$2:G$500,"Вистачає на харчування, одяг, взуття, інші покупки. Але для придбання речей, які дорого коштують (таких як сучасний телевізор, холодильник, меблі) необхідно заощадити або позичити",Data!BN$2:BN$500,5)+(COUNTIFS(Data!G$2:G$500,"Вистачає на харчування, одяг, взуття, інші покупки. Але для придбання речей, які дорого коштують (таких як сучасний телевізор, холодильник, меблі) необхідно заощадити або позичити",Data!BN$2:BN$500,4)+(COUNTIFS(Data!G$2:G$500,"Вистачає на харчування, одяг, взуття, інші покупки. Але для придбання речей, які дорого коштують (таких як сучасний телевізор, холодильник, меблі) необхідно заощадити або позичити",Data!BN$2:BN$500,3)+(COUNTIFS(Data!G$2:G$500,"Вистачає на харчування, одяг, взуття, інші покупки. Але для придбання речей, які дорого коштують (таких як сучасний телевізор, холодильник, меблі) необхідно заощадити або позичити",Data!BN$2:BN$500,2)+(COUNTIFS(Data!G$2:G$500,"Вистачає на харчування, одяг, взуття, інші покупки. Але для придбання речей, які дорого коштують (таких як сучасний телевізор, холодильник, меблі) необхідно заощадити або позичити",Data!BN$2:BN$500,1))))))</f>
        <v>5</v>
      </c>
      <c r="G70" s="28"/>
      <c r="H70" s="3"/>
      <c r="I70" s="3"/>
      <c r="J70" s="3"/>
      <c r="K70" s="3"/>
      <c r="L70" s="3"/>
      <c r="M70" s="3"/>
      <c r="N70" s="3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">
      <c r="A71" s="173" t="s">
        <v>103</v>
      </c>
      <c r="B71" s="134"/>
      <c r="C71" s="134"/>
      <c r="D71" s="134"/>
      <c r="E71" s="135"/>
      <c r="F71" s="63">
        <f>((COUNTIFS(Data!G$2:G$500,"Вистачає на харчування, одяг, взуття, дорогі покупки. Для таких покупок як машина, квартира необхідно заощадити або позичити",Data!BN$2:BN$500,5)*5)+(COUNTIFS(Data!G$2:G$500,"Вистачає на харчування, одяг, взуття, дорогі покупки. Для таких покупок як машина, квартира необхідно заощадити або позичити",Data!BN$2:BN$500,4)*4)+(COUNTIFS(Data!G$2:G$500,"Вистачає на харчування, одяг, взуття, дорогі покупки. Для таких покупок як машина, квартира необхідно заощадити або позичити",Data!BN$2:BN$500,3)*3)+(COUNTIFS(Data!G$2:G$500,"Вистачає на харчування, одяг, взуття, дорогі покупки. Для таких покупок як машина, квартира необхідно заощадити або позичити",Data!BN$2:BN$500,2)*2)+(COUNTIFS(Data!G$2:G$500,"Вистачає на харчування, одяг, взуття, дорогі покупки. Для таких покупок як машина, квартира необхідно заощадити або позичити",Data!BN$2:BN$500,1)*1))/(COUNTIFS(Data!G$2:G$500,"Вистачає на харчування, одяг, взуття, дорогі покупки. Для таких покупок як машина, квартира необхідно заощадити або позичити",Data!BN$2:BN$500,5)+(COUNTIFS(Data!G$2:G$500,"Вистачає на харчування, одяг, взуття, дорогі покупки. Для таких покупок як машина, квартира необхідно заощадити або позичити",Data!BN$2:BN$500,4)+(COUNTIFS(Data!G$2:G$500,"Вистачає на харчування, одяг, взуття, дорогі покупки. Для таких покупок як машина, квартира необхідно заощадити або позичити",Data!BN$2:BN$500,3)+(COUNTIFS(Data!G$2:G$500,"Вистачає на харчування, одяг, взуття, дорогі покупки. Для таких покупок як машина, квартира необхідно заощадити або позичити",Data!BN$2:BN$500,2)+(COUNTIFS(Data!G$2:G$500,"Вистачає на харчування, одяг, взуття, дорогі покупки. Для таких покупок як машина, квартира необхідно заощадити або позичити",Data!BN$2:BN$500,1))))))</f>
        <v>4.5</v>
      </c>
      <c r="G71" s="28"/>
      <c r="H71" s="3"/>
      <c r="I71" s="3"/>
      <c r="J71" s="3"/>
      <c r="K71" s="3"/>
      <c r="L71" s="3"/>
      <c r="M71" s="3"/>
      <c r="N71" s="3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">
      <c r="A72" s="173" t="s">
        <v>105</v>
      </c>
      <c r="B72" s="134"/>
      <c r="C72" s="134"/>
      <c r="D72" s="134"/>
      <c r="E72" s="135"/>
      <c r="F72" s="63" t="e">
        <f>((COUNTIFS(Data!G$2:G$500,"Будь-які необхідні покупки можу зробити в будь-який час",Data!BN$2:BN$500,5)*5)+(COUNTIFS(Data!G$2:G$500,"Будь-які необхідні покупки можу зробити в будь-який час",Data!BN$2:BN$500,4)*4)+(COUNTIFS(Data!G$2:G$500,"Будь-які необхідні покупки можу зробити в будь-який час",Data!BN$2:BN$500,3)*3)+(COUNTIFS(Data!G$2:G$500,"Будь-які необхідні покупки можу зробити в будь-який час",Data!BN$2:BN$500,2)*2)+(COUNTIFS(Data!G$2:G$500,"Будь-які необхідні покупки можу зробити в будь-який час",Data!BN$2:BN$500,1)*1))/(COUNTIFS(Data!G$2:G$500,"Будь-які необхідні покупки можу зробити в будь-який час",Data!BN$2:BN$500,5)+(COUNTIFS(Data!G$2:G$500,"Будь-які необхідні покупки можу зробити в будь-який час",Data!BN$2:BN$500,4)+(COUNTIFS(Data!G$2:G$500,"Будь-які необхідні покупки можу зробити в будь-який час",Data!BN$2:BN$500,3)+(COUNTIFS(Data!G$2:G$500,"Будь-які необхідні покупки можу зробити в будь-який час",Data!BN$2:BN$500,2)+(COUNTIFS(Data!G$2:G$500,"Будь-які необхідні покупки можу зробити в будь-який час",Data!BN$2:BN$500,1))))))</f>
        <v>#DIV/0!</v>
      </c>
      <c r="G72" s="28"/>
      <c r="H72" s="3"/>
      <c r="I72" s="3"/>
      <c r="J72" s="3"/>
      <c r="K72" s="3"/>
      <c r="L72" s="3"/>
      <c r="M72" s="3"/>
      <c r="N72" s="3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">
      <c r="A73" s="173" t="s">
        <v>107</v>
      </c>
      <c r="B73" s="134"/>
      <c r="C73" s="134"/>
      <c r="D73" s="134"/>
      <c r="E73" s="135"/>
      <c r="F73" s="63" t="e">
        <f>((COUNTIFS(Data!G$2:G$500,"КН (код невідповіді)",Data!BN$2:BN$500,5)*5)+(COUNTIFS(Data!G$2:G$500,"КН (код невідповіді)",Data!BN$2:BN$500,4)*4)+(COUNTIFS(Data!G$2:G$500,"КН (код невідповіді)",Data!BN$2:BN$500,3)*3)+(COUNTIFS(Data!G$2:G$500,"КН (код невідповіді)",Data!BN$2:BN$500,2)*2)+(COUNTIFS(Data!G$2:G$500,"КН (код невідповіді)",Data!BN$2:BN$500,1)*1))/(COUNTIFS(Data!G$2:G$500,"КН (код невідповіді)",Data!BN$2:BN$500,5)+(COUNTIFS(Data!G$2:G$500,"КН (код невідповіді)",Data!BN$2:BN$500,4)+(COUNTIFS(Data!G$2:G$500,"КН (код невідповіді)",Data!BN$2:BN$500,3)+(COUNTIFS(Data!G$2:G$500,"КН (код невідповіді)",Data!BN$2:BN$500,2)+(COUNTIFS(Data!G$2:G$500,"КН (код невідповіді)",Data!BN$2:BN$500,1))))))</f>
        <v>#DIV/0!</v>
      </c>
      <c r="G73" s="28"/>
      <c r="H73" s="3"/>
      <c r="I73" s="3"/>
      <c r="J73" s="3"/>
      <c r="K73" s="3"/>
      <c r="L73" s="3"/>
      <c r="M73" s="3"/>
      <c r="N73" s="3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">
      <c r="A74" s="172" t="s">
        <v>109</v>
      </c>
      <c r="B74" s="134"/>
      <c r="C74" s="134"/>
      <c r="D74" s="134"/>
      <c r="E74" s="135"/>
      <c r="F74" s="64" t="e">
        <f>((COUNTIFS(Data!H$2:H$500,"Є учасником судових проваджень і представляєте особисто себе",Data!BN$2:BN$500,5)*5)+(COUNTIFS(Data!H$2:H$500,"Є учасником судових проваджень і представляєте особисто себе",Data!BN$2:BN$500,4)*4)+(COUNTIFS(Data!H$2:H$500,"Є учасником судових проваджень і представляєте особисто себе",Data!BN$2:BN$500,3)*3)+(COUNTIFS(Data!H$2:H$500,"Є учасником судових проваджень і представляєте особисто себе",Data!BN$2:BN$500,2)*2)+(COUNTIFS(Data!H$2:H$500,"Є учасником судових проваджень і представляєте особисто себе",Data!BN$2:BN$500,1)*1))/(COUNTIFS(Data!H$2:H$500,"Є учасником судових проваджень і представляєте особисто себе",Data!BN$2:BN$500,5)+(COUNTIFS(Data!H$2:H$500,"Є учасником судових проваджень і представляєте особисто себе",Data!BN$2:BN$500,4)+(COUNTIFS(Data!H$2:H$500,"Є учасником судових проваджень і представляєте особисто себе",Data!BN$2:BN$500,3)+(COUNTIFS(Data!H$2:H$500,"Є учасником судових проваджень і представляєте особисто себе",Data!BN$2:BN$500,2)+(COUNTIFS(Data!H$2:H$500,"Є учасником судових проваджень і представляєте особисто себе",Data!BN$2:BN$500,1))))))</f>
        <v>#DIV/0!</v>
      </c>
      <c r="G74" s="28"/>
      <c r="H74" s="3"/>
      <c r="I74" s="3"/>
      <c r="J74" s="3"/>
      <c r="K74" s="3"/>
      <c r="L74" s="3"/>
      <c r="M74" s="3"/>
      <c r="N74" s="3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">
      <c r="A75" s="172" t="s">
        <v>111</v>
      </c>
      <c r="B75" s="134"/>
      <c r="C75" s="134"/>
      <c r="D75" s="134"/>
      <c r="E75" s="135"/>
      <c r="F75" s="64">
        <f>((COUNTIFS(Data!H$2:H$500,"Є учасником судових проваджень, але представляєте іншу фізичну чи юридичну особу (є адвокатом, представником прокуратури, юрист-консультантом)",Data!BN$2:BN$500,5)*5)+(COUNTIFS(Data!H$2:H$500,"Є учасником судових проваджень, але представляєте іншу фізичну чи юридичну особу (є адвокатом, представником прокуратури, юрист-консультантом)",Data!BN$2:BN$500,4)*4)+(COUNTIFS(Data!H$2:H$500,"Є учасником судових проваджень, але представляєте іншу фізичну чи юридичну особу (є адвокатом, представником прокуратури, юрист-консультантом)",Data!BN$2:BN$500,3)*3)+(COUNTIFS(Data!H$2:H$500,"Є учасником судових проваджень, але представляєте іншу фізичну чи юридичну особу (є адвокатом, представником прокуратури, юрист-консультантом)",Data!BN$2:BN$500,2)*2)+(COUNTIFS(Data!H$2:H$500,"Є учасником судових проваджень, але представляєте іншу фізичну чи юридичну особу (є адвокатом, представником прокуратури, юрист-консультантом)",Data!BN$2:BN$500,1)*1))/(COUNTIFS(Data!H$2:H$500,"Є учасником судових проваджень, але представляєте іншу фізичну чи юридичну особу (є адвокатом, представником прокуратури, юрист-консультантом)",Data!BN$2:BN$500,5)+(COUNTIFS(Data!H$2:H$500,"Є учасником судових проваджень, але представляєте іншу фізичну чи юридичну особу (є адвокатом, представником прокуратури, юрист-консультантом)",Data!BN$2:BN$500,4)+(COUNTIFS(Data!H$2:H$500,"Є учасником судових проваджень, але представляєте іншу фізичну чи юридичну особу (є адвокатом, представником прокуратури, юрист-консультантом)",Data!BN$2:BN$500,3)+(COUNTIFS(Data!H$2:H$500,"Є учасником судових проваджень, але представляєте іншу фізичну чи юридичну особу (є адвокатом, представником прокуратури, юрист-консультантом)",Data!BN$2:BN$500,2)+(COUNTIFS(Data!H$2:H$500,"Є учасником судових проваджень, але представляєте іншу фізичну чи юридичну особу (є адвокатом, представником прокуратури, юрист-консультантом)",Data!BN$2:BN$500,1))))))</f>
        <v>4.5</v>
      </c>
      <c r="G75" s="28"/>
      <c r="H75" s="3"/>
      <c r="I75" s="3"/>
      <c r="J75" s="3"/>
      <c r="K75" s="3"/>
      <c r="L75" s="3"/>
      <c r="M75" s="3"/>
      <c r="N75" s="3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">
      <c r="A76" s="172" t="s">
        <v>113</v>
      </c>
      <c r="B76" s="134"/>
      <c r="C76" s="134"/>
      <c r="D76" s="134"/>
      <c r="E76" s="135"/>
      <c r="F76" s="64">
        <f>((COUNTIFS(Data!H$2:H$500,"Не є учасником судових проваджень",Data!BN$2:BN$500,5)*5)+(COUNTIFS(Data!H$2:H$500,"Не є учасником судових проваджень",Data!BN$2:BN$500,4)*4)+(COUNTIFS(Data!H$2:H$500,"Не є учасником судових проваджень",Data!BN$2:BN$500,3)*3)+(COUNTIFS(Data!H$2:H$500,"Не є учасником судових проваджень",Data!BN$2:BN$500,2)*2)+(COUNTIFS(Data!H$2:H$500,"Не є учасником судових проваджень",Data!BN$2:BN$500,1)*1))/(COUNTIFS(Data!H$2:H$500,"Не є учасником судових проваджень",Data!BN$2:BN$500,5)+(COUNTIFS(Data!H$2:H$500,"Не є учасником судових проваджень",Data!BN$2:BN$500,4)+(COUNTIFS(Data!H$2:H$500,"Не є учасником судових проваджень",Data!BN$2:BN$500,3)+(COUNTIFS(Data!H$2:H$500,"Не є учасником судових проваджень",Data!BN$2:BN$500,2)+(COUNTIFS(Data!H$2:H$500,"Не є учасником судових проваджень",Data!BN$2:BN$500,1))))))</f>
        <v>5</v>
      </c>
      <c r="G76" s="28"/>
      <c r="H76" s="3"/>
      <c r="I76" s="3"/>
      <c r="J76" s="3"/>
      <c r="K76" s="3"/>
      <c r="L76" s="3"/>
      <c r="M76" s="3"/>
      <c r="N76" s="3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">
      <c r="A77" s="172" t="s">
        <v>104</v>
      </c>
      <c r="B77" s="134"/>
      <c r="C77" s="134"/>
      <c r="D77" s="134"/>
      <c r="E77" s="135"/>
      <c r="F77" s="64" t="e">
        <f>((COUNTIFS(Data!H$2:H$500,"Інше",Data!BN$2:BN$500,5)*5)+(COUNTIFS(Data!H$2:H$500,"Інше",Data!BN$2:BN$500,4)*4)+(COUNTIFS(Data!H$2:H$500,"Інше",Data!BN$2:BN$500,3)*3)+(COUNTIFS(Data!H$2:H$500,"Інше",Data!BN$2:BN$500,2)*2)+(COUNTIFS(Data!H$2:H$500,"Інше",Data!BN$2:BN$500,1)*1))/(COUNTIFS(Data!H$2:H$500,"Інше",Data!BN$2:BN$500,5)+(COUNTIFS(Data!H$2:H$500,"Інше",Data!BN$2:BN$500,4)+(COUNTIFS(Data!H$2:H$500,"Інше",Data!BN$2:BN$500,3)+(COUNTIFS(Data!H$2:H$500,"Інше",Data!BN$2:BN$500,2)+(COUNTIFS(Data!H$2:H$500,"Інше",Data!BN$2:BN$500,1))))))</f>
        <v>#DIV/0!</v>
      </c>
      <c r="G77" s="28"/>
      <c r="H77" s="3"/>
      <c r="I77" s="3"/>
      <c r="J77" s="3"/>
      <c r="K77" s="3"/>
      <c r="L77" s="3"/>
      <c r="M77" s="3"/>
      <c r="N77" s="3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">
      <c r="A78" s="165" t="s">
        <v>115</v>
      </c>
      <c r="B78" s="134"/>
      <c r="C78" s="134"/>
      <c r="D78" s="134"/>
      <c r="E78" s="135"/>
      <c r="F78" s="59">
        <f>((COUNTIFS(Data!I$2:I$500,"Цивільний процес",Data!BN$2:BN$500,5)*5)+(COUNTIFS(Data!I$2:I$500,"Цивільний процес",Data!BN$2:BN$500,4)*4)+(COUNTIFS(Data!I$2:I$500,"Цивільний процес",Data!BN$2:BN$500,3)*3)+(COUNTIFS(Data!I$2:I$500,"Цивільний процес",Data!BN$2:BN$500,2)*2)+(COUNTIFS(Data!I$2:I$500,"Цивільний процес",Data!BN$2:BN$500,1)*1))/(COUNTIFS(Data!I$2:I$500,"Цивільний процес",Data!BN$2:BN$500,5)+(COUNTIFS(Data!I$2:I$500,"Цивільний процес",Data!BN$2:BN$500,4)+(COUNTIFS(Data!I$2:I$500,"Цивільний процес",Data!BN$2:BN$500,3)+(COUNTIFS(Data!I$2:I$500,"Цивільний процес",Data!BN$2:BN$500,2)+(COUNTIFS(Data!I$2:I$500,"Цивільний процес",Data!BN$2:BN$500,1))))))</f>
        <v>4.5</v>
      </c>
      <c r="G78" s="28"/>
      <c r="H78" s="3"/>
      <c r="I78" s="3"/>
      <c r="J78" s="3"/>
      <c r="K78" s="3"/>
      <c r="L78" s="3"/>
      <c r="M78" s="3"/>
      <c r="N78" s="3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">
      <c r="A79" s="165" t="s">
        <v>117</v>
      </c>
      <c r="B79" s="134"/>
      <c r="C79" s="134"/>
      <c r="D79" s="134"/>
      <c r="E79" s="135"/>
      <c r="F79" s="59">
        <f>((COUNTIFS(Data!I$2:I$500,"Кримінальний процес",Data!BN$2:BN$500,5)*5)+(COUNTIFS(Data!I$2:I$500,"Кримінальний процес",Data!BN$2:BN$500,4)*4)+(COUNTIFS(Data!I$2:I$500,"Кримінальний процес",Data!BN$2:BN$500,3)*3)+(COUNTIFS(Data!I$2:I$500,"Кримінальний процес",Data!BN$2:BN$500,2)*2)+(COUNTIFS(Data!I$2:I$500,"Кримінальний процес",Data!BN$2:BN$500,1)*1))/(COUNTIFS(Data!I$2:I$500,"Кримінальний процес",Data!BN$2:BN$500,5)+(COUNTIFS(Data!I$2:I$500,"Кримінальний процес",Data!BN$2:BN$500,4)+(COUNTIFS(Data!I$2:I$500,"Кримінальний процес",Data!BN$2:BN$500,3)+(COUNTIFS(Data!I$2:I$500,"Кримінальний процес",Data!BN$2:BN$500,2)+(COUNTIFS(Data!I$2:I$500,"Кримінальний процес",Data!BN$2:BN$500,1))))))</f>
        <v>5</v>
      </c>
      <c r="G79" s="28"/>
      <c r="H79" s="3"/>
      <c r="I79" s="3"/>
      <c r="J79" s="3"/>
      <c r="K79" s="3"/>
      <c r="L79" s="3"/>
      <c r="M79" s="3"/>
      <c r="N79" s="3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">
      <c r="A80" s="165" t="s">
        <v>123</v>
      </c>
      <c r="B80" s="134"/>
      <c r="C80" s="134"/>
      <c r="D80" s="134"/>
      <c r="E80" s="135"/>
      <c r="F80" s="59" t="e">
        <f>((COUNTIFS(Data!I$2:I$500,"Адміністративний процес",Data!BN$2:BN$500,5)*5)+(COUNTIFS(Data!I$2:I$500,"Адміністративний процес",Data!BN$2:BN$500,4)*4)+(COUNTIFS(Data!I$2:I$500,"Адміністративний процес",Data!BN$2:BN$500,3)*3)+(COUNTIFS(Data!I$2:I$500,"Адміністративний процес",Data!BN$2:BN$500,2)*2)+(COUNTIFS(Data!I$2:I$500,"Адміністративний процес",Data!BN$2:BN$500,1)*1))/(COUNTIFS(Data!I$2:I$500,"Адміністративний процес",Data!BN$2:BN$500,5)+(COUNTIFS(Data!I$2:I$500,"Адміністративний процес",Data!BN$2:BN$500,4)+(COUNTIFS(Data!I$2:I$500,"Адміністративний процес",Data!BN$2:BN$500,3)+(COUNTIFS(Data!I$2:I$500,"Адміністративний процес",Data!BN$2:BN$500,2)+(COUNTIFS(Data!I$2:I$500,"Адміністративний процес",Data!BN$2:BN$500,1))))))</f>
        <v>#DIV/0!</v>
      </c>
      <c r="G80" s="28"/>
      <c r="H80" s="3"/>
      <c r="I80" s="3"/>
      <c r="J80" s="3"/>
      <c r="K80" s="3"/>
      <c r="L80" s="3"/>
      <c r="M80" s="3"/>
      <c r="N80" s="3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">
      <c r="A81" s="165" t="s">
        <v>125</v>
      </c>
      <c r="B81" s="134"/>
      <c r="C81" s="134"/>
      <c r="D81" s="134"/>
      <c r="E81" s="135"/>
      <c r="F81" s="59" t="e">
        <f>((COUNTIFS(Data!I$2:I$500,"Господарський процес",Data!BN$2:BN$500,5)*5)+(COUNTIFS(Data!I$2:I$500,"Господарський процес",Data!BN$2:BN$500,4)*4)+(COUNTIFS(Data!I$2:I$500,"Господарський процес",Data!BN$2:BN$500,3)*3)+(COUNTIFS(Data!I$2:I$500,"Господарський процес",Data!BN$2:BN$500,2)*2)+(COUNTIFS(Data!I$2:I$500,"Господарський процес",Data!BN$2:BN$500,1)*1))/(COUNTIFS(Data!I$2:I$500,"Господарський процес",Data!BN$2:BN$500,5)+(COUNTIFS(Data!I$2:I$500,"Господарський процес",Data!BN$2:BN$500,4)+(COUNTIFS(Data!I$2:I$500,"Господарський процес",Data!BN$2:BN$500,3)+(COUNTIFS(Data!I$2:I$500,"Господарський процес",Data!BN$2:BN$500,2)+(COUNTIFS(Data!I$2:I$500,"Господарський процес",Data!BN$2:BN$500,1))))))</f>
        <v>#DIV/0!</v>
      </c>
      <c r="G81" s="28"/>
      <c r="H81" s="3"/>
      <c r="I81" s="3"/>
      <c r="J81" s="3"/>
      <c r="K81" s="3"/>
      <c r="L81" s="3"/>
      <c r="M81" s="3"/>
      <c r="N81" s="3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">
      <c r="A82" s="165" t="s">
        <v>127</v>
      </c>
      <c r="B82" s="134"/>
      <c r="C82" s="134"/>
      <c r="D82" s="134"/>
      <c r="E82" s="135"/>
      <c r="F82" s="59" t="e">
        <f>((COUNTIFS(Data!I$2:I$500,"Справа про адміністративні  правопорушення",Data!BN$2:BN$500,5)*5)+(COUNTIFS(Data!I$2:I$500,"Справа про адміністративні  правопорушення",Data!BN$2:BN$500,4)*4)+(COUNTIFS(Data!I$2:I$500,"Справа про адміністративні  правопорушення",Data!BN$2:BN$500,3)*3)+(COUNTIFS(Data!I$2:I$500,"Справа про адміністративні  правопорушення",Data!BN$2:BN$500,2)*2)+(COUNTIFS(Data!I$2:I$500,"Справа про адміністративні  правопорушення",Data!BN$2:BN$500,1)*1))/(COUNTIFS(Data!I$2:I$500,"Справа про адміністративні  правопорушення",Data!BN$2:BN$500,5)+(COUNTIFS(Data!I$2:I$500,"Справа про адміністративні  правопорушення",Data!BN$2:BN$500,4)+(COUNTIFS(Data!I$2:I$500,"Справа про адміністративні  правопорушення",Data!BN$2:BN$500,3)+(COUNTIFS(Data!I$2:I$500,"Справа про адміністративні  правопорушення",Data!BN$2:BN$500,2)+(COUNTIFS(Data!I$2:I$500,"Справа про адміністративні  правопорушення",Data!BN$2:BN$500,1))))))</f>
        <v>#DIV/0!</v>
      </c>
      <c r="G82" s="28"/>
      <c r="H82" s="3"/>
      <c r="I82" s="3"/>
      <c r="J82" s="3"/>
      <c r="K82" s="3"/>
      <c r="L82" s="3"/>
      <c r="M82" s="3"/>
      <c r="N82" s="3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>
      <c r="A83" s="66"/>
      <c r="B83" s="66"/>
      <c r="C83" s="66"/>
      <c r="D83" s="66"/>
      <c r="E83" s="66"/>
      <c r="F83" s="1"/>
      <c r="G83" s="28"/>
      <c r="H83" s="3"/>
      <c r="I83" s="3"/>
      <c r="J83" s="3"/>
      <c r="K83" s="3"/>
      <c r="L83" s="3"/>
      <c r="M83" s="3"/>
      <c r="N83" s="3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>
      <c r="A84" s="66"/>
      <c r="B84" s="66"/>
      <c r="C84" s="66"/>
      <c r="D84" s="66"/>
      <c r="E84" s="66"/>
      <c r="F84" s="1"/>
      <c r="G84" s="28"/>
      <c r="H84" s="3"/>
      <c r="I84" s="3"/>
      <c r="J84" s="3"/>
      <c r="K84" s="3"/>
      <c r="L84" s="3"/>
      <c r="M84" s="3"/>
      <c r="N84" s="3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>
      <c r="A85" s="66"/>
      <c r="B85" s="66"/>
      <c r="C85" s="66"/>
      <c r="D85" s="66"/>
      <c r="E85" s="66"/>
      <c r="F85" s="1"/>
      <c r="G85" s="28"/>
      <c r="H85" s="3"/>
      <c r="I85" s="3"/>
      <c r="J85" s="3"/>
      <c r="K85" s="3"/>
      <c r="L85" s="3"/>
      <c r="M85" s="3"/>
      <c r="N85" s="3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>
      <c r="A86" s="66"/>
      <c r="B86" s="66"/>
      <c r="C86" s="66"/>
      <c r="D86" s="66"/>
      <c r="E86" s="66"/>
      <c r="F86" s="1"/>
      <c r="G86" s="28"/>
      <c r="H86" s="3"/>
      <c r="I86" s="3"/>
      <c r="J86" s="3"/>
      <c r="K86" s="3"/>
      <c r="L86" s="3"/>
      <c r="M86" s="3"/>
      <c r="N86" s="3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>
      <c r="A87" s="66"/>
      <c r="B87" s="66"/>
      <c r="C87" s="66"/>
      <c r="D87" s="66"/>
      <c r="E87" s="66"/>
      <c r="F87" s="1"/>
      <c r="G87" s="28"/>
      <c r="H87" s="3"/>
      <c r="I87" s="3"/>
      <c r="J87" s="3"/>
      <c r="K87" s="3"/>
      <c r="L87" s="3"/>
      <c r="M87" s="3"/>
      <c r="N87" s="3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>
      <c r="A88" s="66"/>
      <c r="B88" s="66"/>
      <c r="C88" s="66"/>
      <c r="D88" s="66"/>
      <c r="E88" s="66"/>
      <c r="F88" s="1"/>
      <c r="G88" s="28"/>
      <c r="H88" s="3"/>
      <c r="I88" s="3"/>
      <c r="J88" s="3"/>
      <c r="K88" s="3"/>
      <c r="L88" s="3"/>
      <c r="M88" s="3"/>
      <c r="N88" s="3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>
      <c r="A89" s="66"/>
      <c r="B89" s="66"/>
      <c r="C89" s="66"/>
      <c r="D89" s="66"/>
      <c r="E89" s="66"/>
      <c r="F89" s="1"/>
      <c r="G89" s="28"/>
      <c r="H89" s="3"/>
      <c r="I89" s="3"/>
      <c r="J89" s="3"/>
      <c r="K89" s="3"/>
      <c r="L89" s="3"/>
      <c r="M89" s="3"/>
      <c r="N89" s="3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7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7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7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7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7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.7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.7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.7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.7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.7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.7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.7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.7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.7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.7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.7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.7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.7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.7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.7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.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.7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.7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.7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.7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.7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.7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.7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.7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.7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.7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.7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.7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.7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.7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.7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.7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.7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.7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.7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.7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.7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.7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.7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.7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.7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.7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.7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.7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.7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.7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.7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.7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.7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.7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.7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.7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.7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.7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.7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.7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.7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.7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.7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.7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.7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.7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.7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.7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.7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.7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.7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.7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.7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.7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.7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.7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.7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.7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.7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.7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.7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.7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.7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.7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.7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.7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.7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.7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.7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.7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.7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.7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.7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.7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.7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.7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.7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.7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.7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.7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.7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.7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.7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.7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.7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.7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.7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.7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.7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.7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.7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.7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.7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.7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.7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.7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.7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.7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.7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.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.7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.7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.7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.7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.7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.7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.7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.7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.7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.7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.7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.7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.7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.7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.7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.7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.7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.7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.7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.7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.7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.7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.7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.7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.7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.7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.7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.7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.7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.7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.7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.7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.7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.7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.7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.7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.7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.7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.7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.7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.7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.7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.7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.7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.7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.7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.7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.7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.7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.7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.7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.7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.7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.7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.7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.7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.7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.7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.7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.7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.7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.7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.7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.7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.7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.7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.7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.7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.7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.7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.7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.7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.7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.7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.7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.7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.7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.7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.7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.7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.7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.7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.7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.7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.7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.7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.7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.7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.7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.7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.7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.7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.7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.7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.7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.7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.7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.7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.7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.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.7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.7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.7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.7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.7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.7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.7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.7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.7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.7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.7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.7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.7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.7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.7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.7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.7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.7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.7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.7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.7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.7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.7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.7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.7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.7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.7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.7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.7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.7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.7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.7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.7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.7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.7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.7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.7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.7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.7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.7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.7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.7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.7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.7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.7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.7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.7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.7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.7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.7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.7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.7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.7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.7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.7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.7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.7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.7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.7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.7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.7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.7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.7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.7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.7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.7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.7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.7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.7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.7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.7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.7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.7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.7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.7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.7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.7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.7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.7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.7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.7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.7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.7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.7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.7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.7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.7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.7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.7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.7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.7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.7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.7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.7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.7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.7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.7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.7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.7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.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.7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.7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.7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.7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.7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.7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.7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.7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.7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.7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.7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.7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.7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.7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.7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.7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.7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.7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.7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.7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.7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.7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.7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.7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.7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.7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.7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.7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.7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.7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.7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.7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.7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.7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.7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.7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.7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.7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.7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.7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.7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.7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.7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.7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.7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.7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.7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.7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.7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.7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.7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.7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.7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.7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.7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.7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.7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.7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.7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.7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.7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.7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.7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.7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.7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.7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.7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.7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.7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.7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.7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.7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.7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.7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.7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.7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.7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.7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.7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.7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.7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.7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.7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.7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.7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.7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.7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.7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.7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.7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.7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.7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.7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.7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.7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.7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.7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.7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.7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.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.7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.7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.7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.7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.7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.7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.7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.7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.7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.7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.7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.7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.7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.7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.7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.7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.7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.7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.7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.7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.7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.7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.7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.7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.7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.7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.7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.7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.7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.7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.7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.7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.7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.7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.7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.7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.7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.7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.7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.7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.7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.7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.7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.7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.7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.7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.7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.7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.7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.7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.7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.7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.7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.7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.7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.7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.7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.7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.7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.7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.7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.7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.7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.7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.7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.7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.7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.7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.7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.7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.7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.7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.7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.7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.7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.7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.7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.7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.7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.7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.7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.7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.7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.7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.7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.7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.7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.7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.7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.7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.7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.7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.7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.7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.7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.7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.7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.7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.7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.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.7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.7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.7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.7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.7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.7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.7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.7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.7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.7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.7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.7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.7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.7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.7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.7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.7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.7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.7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.7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.7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.7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.7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.7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.7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.7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.7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.7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.7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.7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.7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.7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.7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.7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.7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.7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.7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.7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.7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.7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.7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.7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.7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.7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.7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.7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.7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.7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.7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.7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.7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.7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.7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.7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.7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.7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.7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.7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.7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.7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.7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.7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.7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.7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.7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.7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.7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.7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.7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.7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.7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.7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.7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.7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.7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.7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.7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.7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.7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.7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.7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.7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.7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.7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.7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.7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.7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.7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.7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.7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.7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.7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.7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.7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.7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.7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.7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.7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.7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.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.7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.7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.7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.7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.7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.7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.7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.7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.7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.7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.7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.7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.7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.7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.7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.7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.7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.7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.7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.7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.7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.7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.7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.7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.7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.7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.7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.7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.7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.7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.7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.7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.7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.7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.7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.7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.7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.7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.7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.7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.7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.7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.7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.7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.7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.7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.7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.7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.7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.7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.7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.7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.7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.7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.7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.7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.7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.7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.7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.7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.7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.7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.7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.7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</sheetData>
  <mergeCells count="42">
    <mergeCell ref="A82:E82"/>
    <mergeCell ref="A81:E81"/>
    <mergeCell ref="A80:E80"/>
    <mergeCell ref="A79:E79"/>
    <mergeCell ref="A58:E58"/>
    <mergeCell ref="A60:E60"/>
    <mergeCell ref="A59:E59"/>
    <mergeCell ref="A62:E62"/>
    <mergeCell ref="A61:E61"/>
    <mergeCell ref="A67:E67"/>
    <mergeCell ref="A66:E66"/>
    <mergeCell ref="A65:E65"/>
    <mergeCell ref="A64:E64"/>
    <mergeCell ref="A63:E63"/>
    <mergeCell ref="A75:E75"/>
    <mergeCell ref="A76:E76"/>
    <mergeCell ref="A57:E57"/>
    <mergeCell ref="A12:F12"/>
    <mergeCell ref="A5:F5"/>
    <mergeCell ref="A77:E77"/>
    <mergeCell ref="A78:E78"/>
    <mergeCell ref="A48:E48"/>
    <mergeCell ref="A49:E49"/>
    <mergeCell ref="A46:E46"/>
    <mergeCell ref="A47:E47"/>
    <mergeCell ref="A72:E72"/>
    <mergeCell ref="A73:E73"/>
    <mergeCell ref="A69:E69"/>
    <mergeCell ref="A68:E68"/>
    <mergeCell ref="A71:E71"/>
    <mergeCell ref="A70:E70"/>
    <mergeCell ref="A74:E74"/>
    <mergeCell ref="A20:E20"/>
    <mergeCell ref="A56:E56"/>
    <mergeCell ref="A54:E54"/>
    <mergeCell ref="A55:E55"/>
    <mergeCell ref="A38:E38"/>
    <mergeCell ref="A31:E31"/>
    <mergeCell ref="A53:E53"/>
    <mergeCell ref="A50:E50"/>
    <mergeCell ref="A51:E51"/>
    <mergeCell ref="A52:E5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F47"/>
  <sheetViews>
    <sheetView workbookViewId="0"/>
  </sheetViews>
  <sheetFormatPr defaultColWidth="14.42578125" defaultRowHeight="15.75" customHeight="1"/>
  <cols>
    <col min="1" max="1" width="78" customWidth="1"/>
  </cols>
  <sheetData>
    <row r="1" spans="1:6" ht="15">
      <c r="A1" s="173" t="s">
        <v>312</v>
      </c>
      <c r="B1" s="134"/>
      <c r="C1" s="134"/>
      <c r="D1" s="134"/>
      <c r="E1" s="135"/>
      <c r="F1" s="63">
        <f>Block1!F74</f>
        <v>4.2</v>
      </c>
    </row>
    <row r="2" spans="1:6" ht="15">
      <c r="A2" s="173" t="s">
        <v>313</v>
      </c>
      <c r="B2" s="134"/>
      <c r="C2" s="134"/>
      <c r="D2" s="134"/>
      <c r="E2" s="135"/>
      <c r="F2" s="63">
        <f>Block1!F75</f>
        <v>4.5999999999999996</v>
      </c>
    </row>
    <row r="3" spans="1:6" ht="15">
      <c r="A3" s="173" t="s">
        <v>314</v>
      </c>
      <c r="B3" s="134"/>
      <c r="C3" s="134"/>
      <c r="D3" s="134"/>
      <c r="E3" s="135"/>
      <c r="F3" s="63">
        <f>Block1!F76</f>
        <v>4.7</v>
      </c>
    </row>
    <row r="4" spans="1:6" ht="15">
      <c r="A4" s="173" t="s">
        <v>315</v>
      </c>
      <c r="B4" s="134"/>
      <c r="C4" s="134"/>
      <c r="D4" s="134"/>
      <c r="E4" s="135"/>
      <c r="F4" s="63">
        <f>Block1!F77</f>
        <v>5</v>
      </c>
    </row>
    <row r="5" spans="1:6" ht="15">
      <c r="A5" s="173" t="s">
        <v>316</v>
      </c>
      <c r="B5" s="134"/>
      <c r="C5" s="134"/>
      <c r="D5" s="134"/>
      <c r="E5" s="135"/>
      <c r="F5" s="63" t="e">
        <f>Block1!F78</f>
        <v>#DIV/0!</v>
      </c>
    </row>
    <row r="6" spans="1:6" ht="15">
      <c r="A6" s="173" t="s">
        <v>97</v>
      </c>
      <c r="B6" s="134"/>
      <c r="C6" s="134"/>
      <c r="D6" s="134"/>
      <c r="E6" s="135"/>
      <c r="F6" s="63">
        <f>Block1!F79</f>
        <v>4</v>
      </c>
    </row>
    <row r="7" spans="1:6" ht="15">
      <c r="A7" s="172" t="s">
        <v>317</v>
      </c>
      <c r="B7" s="134"/>
      <c r="C7" s="134"/>
      <c r="D7" s="134"/>
      <c r="E7" s="135"/>
      <c r="F7" s="64">
        <f>Block1!F80</f>
        <v>4.375</v>
      </c>
    </row>
    <row r="8" spans="1:6" ht="15">
      <c r="A8" s="172" t="s">
        <v>318</v>
      </c>
      <c r="B8" s="134"/>
      <c r="C8" s="134"/>
      <c r="D8" s="134"/>
      <c r="E8" s="135"/>
      <c r="F8" s="64">
        <f>Block1!F81</f>
        <v>5</v>
      </c>
    </row>
    <row r="9" spans="1:6" ht="15">
      <c r="A9" s="172" t="s">
        <v>102</v>
      </c>
      <c r="B9" s="134"/>
      <c r="C9" s="134"/>
      <c r="D9" s="134"/>
      <c r="E9" s="135"/>
      <c r="F9" s="64">
        <f>Block1!F82</f>
        <v>4.4444444444444446</v>
      </c>
    </row>
    <row r="10" spans="1:6" ht="15">
      <c r="A10" s="172" t="s">
        <v>319</v>
      </c>
      <c r="B10" s="134"/>
      <c r="C10" s="134"/>
      <c r="D10" s="134"/>
      <c r="E10" s="135"/>
      <c r="F10" s="64">
        <f>Block1!F83</f>
        <v>5</v>
      </c>
    </row>
    <row r="11" spans="1:6" ht="15">
      <c r="A11" s="165" t="s">
        <v>106</v>
      </c>
      <c r="B11" s="134"/>
      <c r="C11" s="134"/>
      <c r="D11" s="134"/>
      <c r="E11" s="135"/>
      <c r="F11" s="64">
        <f>Block1!F84</f>
        <v>4.7857142857142856</v>
      </c>
    </row>
    <row r="12" spans="1:6" ht="15">
      <c r="A12" s="165" t="s">
        <v>108</v>
      </c>
      <c r="B12" s="134"/>
      <c r="C12" s="134"/>
      <c r="D12" s="134"/>
      <c r="E12" s="135"/>
      <c r="F12" s="64">
        <f>Block1!F85</f>
        <v>4.833333333333333</v>
      </c>
    </row>
    <row r="13" spans="1:6" ht="15">
      <c r="A13" s="165" t="s">
        <v>110</v>
      </c>
      <c r="B13" s="134"/>
      <c r="C13" s="134"/>
      <c r="D13" s="134"/>
      <c r="E13" s="135"/>
      <c r="F13" s="64">
        <f>Block1!F86</f>
        <v>4</v>
      </c>
    </row>
    <row r="14" spans="1:6" ht="15">
      <c r="A14" s="165" t="s">
        <v>112</v>
      </c>
      <c r="B14" s="134"/>
      <c r="C14" s="134"/>
      <c r="D14" s="134"/>
      <c r="E14" s="135"/>
      <c r="F14" s="64" t="e">
        <f>Block1!F87</f>
        <v>#DIV/0!</v>
      </c>
    </row>
    <row r="15" spans="1:6" ht="15">
      <c r="A15" s="165" t="s">
        <v>114</v>
      </c>
      <c r="B15" s="134"/>
      <c r="C15" s="134"/>
      <c r="D15" s="134"/>
      <c r="E15" s="135"/>
      <c r="F15" s="64" t="e">
        <f>Block1!F88</f>
        <v>#DIV/0!</v>
      </c>
    </row>
    <row r="19" spans="1:2" ht="15.75" customHeight="1">
      <c r="A19" s="104" t="s">
        <v>122</v>
      </c>
      <c r="B19" s="56">
        <f>Block2!H8</f>
        <v>4.8275862068965516</v>
      </c>
    </row>
    <row r="20" spans="1:2" ht="15.75" customHeight="1">
      <c r="A20" s="104" t="s">
        <v>320</v>
      </c>
      <c r="B20" s="56">
        <f>Block2!H9</f>
        <v>4.6956521739130439</v>
      </c>
    </row>
    <row r="21" spans="1:2" ht="15.75" customHeight="1">
      <c r="A21" s="104" t="s">
        <v>321</v>
      </c>
      <c r="B21" s="56">
        <f>Block2!H10</f>
        <v>4.3809523809523814</v>
      </c>
    </row>
    <row r="22" spans="1:2" ht="15.75" customHeight="1">
      <c r="A22" s="104" t="s">
        <v>322</v>
      </c>
      <c r="B22" s="56">
        <f>Block2!H11</f>
        <v>4.8666666666666663</v>
      </c>
    </row>
    <row r="23" spans="1:2" ht="15.75" customHeight="1">
      <c r="A23" s="104" t="s">
        <v>323</v>
      </c>
      <c r="B23" s="56">
        <f>Block2!H12</f>
        <v>3.8</v>
      </c>
    </row>
    <row r="24" spans="1:2" ht="15.75" customHeight="1">
      <c r="A24" s="104" t="s">
        <v>132</v>
      </c>
      <c r="B24" s="56">
        <f>Block2!H13</f>
        <v>4.7037037037037033</v>
      </c>
    </row>
    <row r="25" spans="1:2" ht="15.75" customHeight="1">
      <c r="A25" s="104" t="s">
        <v>133</v>
      </c>
      <c r="B25" s="56">
        <f>Block2!H14</f>
        <v>4.6296296296296298</v>
      </c>
    </row>
    <row r="26" spans="1:2" ht="15.75" customHeight="1">
      <c r="A26" s="112" t="s">
        <v>324</v>
      </c>
      <c r="B26" s="56">
        <f>Block2!H15</f>
        <v>4.5555555555555554</v>
      </c>
    </row>
    <row r="27" spans="1:2" ht="15.75" customHeight="1">
      <c r="A27" s="104" t="s">
        <v>325</v>
      </c>
      <c r="B27" s="56">
        <f>Block2!H16</f>
        <v>2.5882352941176472</v>
      </c>
    </row>
    <row r="28" spans="1:2" ht="12.75">
      <c r="A28" s="9"/>
    </row>
    <row r="29" spans="1:2" ht="28.5">
      <c r="A29" s="104" t="s">
        <v>326</v>
      </c>
      <c r="B29" s="56">
        <f>Block2!H26</f>
        <v>4.3</v>
      </c>
    </row>
    <row r="30" spans="1:2" ht="14.25">
      <c r="A30" s="104" t="s">
        <v>327</v>
      </c>
      <c r="B30" s="56">
        <f>Block2!H27</f>
        <v>4.4666666666666668</v>
      </c>
    </row>
    <row r="31" spans="1:2" ht="14.25">
      <c r="A31" s="104" t="s">
        <v>328</v>
      </c>
      <c r="B31" s="56">
        <f>Block2!H28</f>
        <v>4.333333333333333</v>
      </c>
    </row>
    <row r="32" spans="1:2" ht="14.25">
      <c r="A32" s="104" t="s">
        <v>329</v>
      </c>
      <c r="B32" s="56">
        <f>Block2!H29</f>
        <v>4.5</v>
      </c>
    </row>
    <row r="34" spans="1:2">
      <c r="A34" s="120" t="s">
        <v>144</v>
      </c>
      <c r="B34" s="106">
        <f>Block2!H36</f>
        <v>4.5172413793103452</v>
      </c>
    </row>
    <row r="35" spans="1:2" ht="28.5">
      <c r="A35" s="104" t="s">
        <v>330</v>
      </c>
      <c r="B35" s="106">
        <f>Block2!H38</f>
        <v>4.5</v>
      </c>
    </row>
    <row r="36" spans="1:2" ht="28.5">
      <c r="A36" s="104" t="s">
        <v>331</v>
      </c>
      <c r="B36" s="106">
        <f>Block2!H39</f>
        <v>4.7666666666666666</v>
      </c>
    </row>
    <row r="37" spans="1:2" ht="15">
      <c r="A37" s="104" t="s">
        <v>332</v>
      </c>
      <c r="B37" s="106">
        <f>Block2!H40</f>
        <v>4.6551724137931032</v>
      </c>
    </row>
    <row r="38" spans="1:2" ht="28.5">
      <c r="A38" s="104" t="s">
        <v>333</v>
      </c>
      <c r="B38" s="106">
        <f>Block2!H41</f>
        <v>4.5666666666666664</v>
      </c>
    </row>
    <row r="39" spans="1:2" ht="28.5">
      <c r="A39" s="104" t="s">
        <v>334</v>
      </c>
      <c r="B39" s="106">
        <f>Block2!H42</f>
        <v>4.4137931034482758</v>
      </c>
    </row>
    <row r="40" spans="1:2" ht="15">
      <c r="A40" s="104" t="s">
        <v>153</v>
      </c>
      <c r="B40" s="106">
        <f>Block2!H44</f>
        <v>4.4117647058823533</v>
      </c>
    </row>
    <row r="43" spans="1:2" ht="15">
      <c r="A43" s="54" t="s">
        <v>155</v>
      </c>
      <c r="B43" s="56">
        <f>Block2!H51</f>
        <v>4.75</v>
      </c>
    </row>
    <row r="44" spans="1:2" ht="45">
      <c r="A44" s="54" t="s">
        <v>156</v>
      </c>
      <c r="B44" s="56">
        <f>Block2!H52</f>
        <v>4.1363636363636367</v>
      </c>
    </row>
    <row r="45" spans="1:2" ht="28.5">
      <c r="A45" s="104" t="s">
        <v>335</v>
      </c>
      <c r="B45" s="56">
        <f>Block2!H54</f>
        <v>4.72</v>
      </c>
    </row>
    <row r="46" spans="1:2" ht="28.5">
      <c r="A46" s="104" t="s">
        <v>336</v>
      </c>
      <c r="B46" s="56">
        <f>Block2!H55</f>
        <v>4.5999999999999996</v>
      </c>
    </row>
    <row r="47" spans="1:2" ht="28.5">
      <c r="A47" s="104" t="s">
        <v>337</v>
      </c>
      <c r="B47" s="56">
        <f>Block2!H56</f>
        <v>4.68</v>
      </c>
    </row>
  </sheetData>
  <mergeCells count="15">
    <mergeCell ref="A1:E1"/>
    <mergeCell ref="A4:E4"/>
    <mergeCell ref="A2:E2"/>
    <mergeCell ref="A3:E3"/>
    <mergeCell ref="A5:E5"/>
    <mergeCell ref="A14:E14"/>
    <mergeCell ref="A15:E15"/>
    <mergeCell ref="A9:E9"/>
    <mergeCell ref="A7:E7"/>
    <mergeCell ref="A6:E6"/>
    <mergeCell ref="A8:E8"/>
    <mergeCell ref="A10:E10"/>
    <mergeCell ref="A11:E11"/>
    <mergeCell ref="A12:E12"/>
    <mergeCell ref="A13:E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SORS_report</vt:lpstr>
      <vt:lpstr>recom</vt:lpstr>
      <vt:lpstr>Block1</vt:lpstr>
      <vt:lpstr>Block1_charts</vt:lpstr>
      <vt:lpstr>Block2</vt:lpstr>
      <vt:lpstr>Block2_charts</vt:lpstr>
      <vt:lpstr>Data</vt:lpstr>
      <vt:lpstr>Block3</vt:lpstr>
      <vt:lpstr>srv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Ірина Лозовська</dc:creator>
  <cp:lastModifiedBy>User</cp:lastModifiedBy>
  <dcterms:created xsi:type="dcterms:W3CDTF">2019-08-08T08:14:59Z</dcterms:created>
  <dcterms:modified xsi:type="dcterms:W3CDTF">2019-08-08T10:52:05Z</dcterms:modified>
</cp:coreProperties>
</file>